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g-Prov\Downloads\"/>
    </mc:Choice>
  </mc:AlternateContent>
  <xr:revisionPtr revIDLastSave="0" documentId="13_ncr:1_{44C9F01F-1CE0-42D4-BFD1-FCA3A3401FFC}" xr6:coauthVersionLast="47" xr6:coauthVersionMax="47" xr10:uidLastSave="{00000000-0000-0000-0000-000000000000}"/>
  <bookViews>
    <workbookView xWindow="28680" yWindow="-2460" windowWidth="29040" windowHeight="15720" xr2:uid="{DA025F43-FEDE-453D-9013-859FB659928C}"/>
  </bookViews>
  <sheets>
    <sheet name="EVALUACIÓN" sheetId="4" r:id="rId1"/>
    <sheet name="BAS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4" l="1"/>
  <c r="N25" i="4"/>
  <c r="K26" i="4"/>
  <c r="K25" i="4"/>
  <c r="G26" i="4"/>
  <c r="H26" i="4" s="1"/>
  <c r="G25" i="4"/>
  <c r="H25" i="4" s="1"/>
  <c r="G17" i="4"/>
  <c r="H17" i="4" s="1"/>
  <c r="G16" i="4"/>
  <c r="H16" i="4" s="1"/>
  <c r="K6" i="1"/>
  <c r="K5" i="1"/>
  <c r="K4" i="1"/>
  <c r="K3" i="1"/>
  <c r="N17" i="4"/>
  <c r="K17" i="4"/>
  <c r="N16" i="4"/>
  <c r="K16" i="4"/>
  <c r="N12" i="4"/>
  <c r="K12" i="4"/>
  <c r="G12" i="4"/>
  <c r="H12" i="4" s="1"/>
  <c r="O12" i="4" s="1"/>
  <c r="N11" i="4"/>
  <c r="K11" i="4"/>
  <c r="G11" i="4"/>
  <c r="H11" i="4" s="1"/>
  <c r="O11" i="4" s="1"/>
  <c r="N10" i="4"/>
  <c r="K10" i="4"/>
  <c r="G10" i="4"/>
  <c r="H10" i="4" s="1"/>
  <c r="N9" i="4"/>
  <c r="K9" i="4"/>
  <c r="G9" i="4"/>
  <c r="H9" i="4" s="1"/>
  <c r="N2" i="4"/>
  <c r="N3" i="4"/>
  <c r="N4" i="4"/>
  <c r="K2" i="4"/>
  <c r="K3" i="4"/>
  <c r="K4" i="4"/>
  <c r="H5" i="4"/>
  <c r="G2" i="4"/>
  <c r="H2" i="4" s="1"/>
  <c r="G3" i="4"/>
  <c r="H3" i="4" s="1"/>
  <c r="G4" i="4"/>
  <c r="H4" i="4" s="1"/>
  <c r="O16" i="4" l="1"/>
  <c r="O4" i="4"/>
  <c r="O2" i="4"/>
  <c r="O3" i="4"/>
  <c r="O26" i="4"/>
  <c r="O25" i="4"/>
  <c r="O10" i="4"/>
  <c r="O17" i="4"/>
  <c r="O9" i="4"/>
</calcChain>
</file>

<file path=xl/sharedStrings.xml><?xml version="1.0" encoding="utf-8"?>
<sst xmlns="http://schemas.openxmlformats.org/spreadsheetml/2006/main" count="126" uniqueCount="31">
  <si>
    <t>RUT OFERENTE</t>
  </si>
  <si>
    <t>NOMBRE OFERENTE</t>
  </si>
  <si>
    <t>LINEA</t>
  </si>
  <si>
    <t>MONTO OFERTADO</t>
  </si>
  <si>
    <t>MENOR VALOR</t>
  </si>
  <si>
    <t>MUEBLES ASENJO LTDA</t>
  </si>
  <si>
    <t>77.018.060-0</t>
  </si>
  <si>
    <t>PLAZO ENTREGA</t>
  </si>
  <si>
    <t>MESES DE GARANTÍA</t>
  </si>
  <si>
    <t>STATUS SPA</t>
  </si>
  <si>
    <t>77.393.671-4</t>
  </si>
  <si>
    <t>EVENTAIL SPA</t>
  </si>
  <si>
    <t>76.710.414-6</t>
  </si>
  <si>
    <t>MELMAN SPA</t>
  </si>
  <si>
    <t>96.882.140-7</t>
  </si>
  <si>
    <t>OBSERVACIÓN</t>
  </si>
  <si>
    <t>PUNTAJE</t>
  </si>
  <si>
    <t>PUNTAJE C2</t>
  </si>
  <si>
    <t>PUNTAJE PONDERADO C2</t>
  </si>
  <si>
    <t>PUNTAJE PONDERADO C1</t>
  </si>
  <si>
    <t>PUNTAJE C3</t>
  </si>
  <si>
    <t>PUNTAJE PONDERADO C3</t>
  </si>
  <si>
    <t>PUNTAJE PONDERADO TOTAL</t>
  </si>
  <si>
    <t>PUNTAJE C1</t>
  </si>
  <si>
    <t>RESULTADO</t>
  </si>
  <si>
    <t>ADJUDICA</t>
  </si>
  <si>
    <t>NO CUMPLE ESPECIFICACIONES TÉCNICAS, NO ES POSIBLE DETERMINAR QUE TIPO DE SILLA SE ESTÁ OFERTANDO POR CADA LINEA. NINGUNA SILLA ES TIPO ERGO HUMAN</t>
  </si>
  <si>
    <t>NO CUMPLE ESPECIFICACIONES TÉCNICAS, OFERTA BERGERE DE 3 CUERPOS</t>
  </si>
  <si>
    <t>OFERTA TOTAL</t>
  </si>
  <si>
    <t>Proveedor adjudicado STATUS SPA, RUT 77.393.671-4, por cumplir con todo lo solicitado.</t>
  </si>
  <si>
    <t>Proveedores que quedaron fuera de evaluación final EVENTAIL SPA RUT 76.710.414-6 y MELMAN SPA RUT 96.882.140-7, por no cumplir con todas las especificaciones técnicas solicitadas.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</si>
</sst>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* #,##0.00_ ;_ * \-#,##0.0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1" fontId="0" fillId="0" borderId="0" xfId="1" applyFont="1"/>
    <xf numFmtId="0" fontId="0" fillId="0" borderId="0" xfId="0" applyAlignment="1">
      <alignment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/>
    <xf numFmtId="0" fontId="2" fillId="2" borderId="0" xfId="0" applyFont="1" applyFill="1"/>
    <xf numFmtId="0" fontId="0" fillId="0" borderId="1" xfId="0" applyFont="1" applyBorder="1"/>
    <xf numFmtId="0" fontId="0" fillId="0" borderId="2" xfId="0" applyFont="1" applyBorder="1"/>
    <xf numFmtId="0" fontId="4" fillId="4" borderId="1" xfId="0" applyFont="1" applyFill="1" applyBorder="1"/>
    <xf numFmtId="0" fontId="4" fillId="4" borderId="2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1" fontId="0" fillId="0" borderId="0" xfId="1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0" fontId="4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0" fillId="0" borderId="4" xfId="0" applyFont="1" applyBorder="1" applyAlignment="1">
      <alignment vertical="center"/>
    </xf>
    <xf numFmtId="41" fontId="0" fillId="0" borderId="0" xfId="0" applyNumberFormat="1"/>
    <xf numFmtId="42" fontId="0" fillId="0" borderId="0" xfId="2" applyFont="1"/>
    <xf numFmtId="42" fontId="0" fillId="0" borderId="2" xfId="2" applyFont="1" applyBorder="1"/>
    <xf numFmtId="1" fontId="0" fillId="0" borderId="2" xfId="0" applyNumberFormat="1" applyFont="1" applyBorder="1"/>
    <xf numFmtId="0" fontId="2" fillId="2" borderId="0" xfId="0" applyFont="1" applyFill="1" applyAlignment="1">
      <alignment horizontal="center" wrapText="1"/>
    </xf>
    <xf numFmtId="41" fontId="0" fillId="0" borderId="0" xfId="1" applyFont="1" applyAlignment="1">
      <alignment horizontal="center"/>
    </xf>
    <xf numFmtId="41" fontId="0" fillId="2" borderId="0" xfId="1" applyFont="1" applyFill="1" applyAlignment="1">
      <alignment horizontal="center"/>
    </xf>
    <xf numFmtId="41" fontId="0" fillId="0" borderId="0" xfId="1" applyFont="1" applyAlignment="1">
      <alignment horizontal="center" vertical="center"/>
    </xf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1" fontId="0" fillId="0" borderId="2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6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42" fontId="0" fillId="0" borderId="4" xfId="2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3">
    <cellStyle name="Millares [0]" xfId="1" builtinId="6"/>
    <cellStyle name="Moneda [0]" xfId="2" builtinId="7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64" formatCode="_ * #,##0.00_ ;_ * \-#,##0.00_ ;_ * &quot;-&quot;_ ;_ @_ "/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numFmt numFmtId="164" formatCode="_ * #,##0.00_ ;_ * \-#,##0.00_ ;_ * &quot;-&quot;_ ;_ @_ "/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numFmt numFmtId="0" formatCode="General"/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A650DF-74E3-4F3D-ADC7-9F6CD5EC8E34}" name="Tabla1345" displayName="Tabla1345" ref="A1:O5" totalsRowShown="0" headerRowDxfId="18">
  <autoFilter ref="A1:O5" xr:uid="{63A650DF-74E3-4F3D-ADC7-9F6CD5EC8E34}"/>
  <tableColumns count="15">
    <tableColumn id="1" xr3:uid="{8F11CAD3-577B-47EC-BB61-4553E3A188CA}" name="RUT OFERENTE"/>
    <tableColumn id="2" xr3:uid="{68C0C89C-3311-42C4-AD67-10E8336E2985}" name="NOMBRE OFERENTE"/>
    <tableColumn id="8" xr3:uid="{0A142B67-F35A-4452-AF98-04DAB6D9249D}" name="OBSERVACIÓN"/>
    <tableColumn id="3" xr3:uid="{612DF099-6DBB-40F7-A639-8A908B20E007}" name="LINEA" dataDxfId="8"/>
    <tableColumn id="4" xr3:uid="{F12DD330-5BBA-4BC2-90DB-2AA3BC9478BA}" name="MONTO OFERTADO" dataCellStyle="Millares [0]"/>
    <tableColumn id="5" xr3:uid="{AE598797-DF2D-43DD-8709-0BE0D2CBAF37}" name="MENOR VALOR" dataCellStyle="Millares [0]"/>
    <tableColumn id="10" xr3:uid="{7F838365-9BB8-4FBB-9D12-999F4DA8C28E}" name="PUNTAJE" dataDxfId="5" dataCellStyle="Millares [0]">
      <calculatedColumnFormula>(Tabla1345[[#This Row],[MENOR VALOR]]/Tabla1345[[#This Row],[MONTO OFERTADO]])*100</calculatedColumnFormula>
    </tableColumn>
    <tableColumn id="9" xr3:uid="{7F43E8F8-1975-49D5-8EEA-19D4CADA84BE}" name="PUNTAJE PONDERADO C1" dataDxfId="4" dataCellStyle="Millares [0]">
      <calculatedColumnFormula>Tabla1345[[#This Row],[PUNTAJE]]*0.5</calculatedColumnFormula>
    </tableColumn>
    <tableColumn id="6" xr3:uid="{CFA8483A-BF57-423F-92B8-8D136913CD2D}" name="PLAZO ENTREGA"/>
    <tableColumn id="12" xr3:uid="{CF652A78-385F-4458-8FAF-0E53927EBE47}" name="PUNTAJE C2"/>
    <tableColumn id="11" xr3:uid="{A823E652-3725-4A5B-885C-90404D12F795}" name="PUNTAJE PONDERADO C2" dataDxfId="17">
      <calculatedColumnFormula>Tabla1345[[#This Row],[PUNTAJE C2]]*0.4</calculatedColumnFormula>
    </tableColumn>
    <tableColumn id="7" xr3:uid="{1826D8D9-1783-42B0-A394-8A6735ADE821}" name="MESES DE GARANTÍA"/>
    <tableColumn id="13" xr3:uid="{5590604B-319C-40A0-84F3-589CDDDF8D60}" name="PUNTAJE C3"/>
    <tableColumn id="14" xr3:uid="{FDD6230C-4B56-44EE-BBFD-88C5DB7762FF}" name="PUNTAJE PONDERADO C3" dataDxfId="16">
      <calculatedColumnFormula>Tabla1345[[#This Row],[PUNTAJE C3]]*0.1</calculatedColumnFormula>
    </tableColumn>
    <tableColumn id="15" xr3:uid="{0E44E773-4DEE-4725-ABCF-5D2DBB8C06F8}" name="PUNTAJE PONDERADO TOTAL" dataDxfId="15">
      <calculatedColumnFormula>SUM(Tabla1345[[#This Row],[PUNTAJE PONDERADO C1]],Tabla1345[[#This Row],[PUNTAJE PONDERADO C2]],Tabla1345[[#This Row],[PUNTAJE PONDERADO C3]])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608A04-2AAF-4756-80C3-18CBCDD57558}" name="Tabla1343" displayName="Tabla1343" ref="A8:O12" totalsRowShown="0">
  <autoFilter ref="A8:O12" xr:uid="{A5608A04-2AAF-4756-80C3-18CBCDD57558}"/>
  <tableColumns count="15">
    <tableColumn id="1" xr3:uid="{A12E12D1-F422-42B9-BE8D-066CED97AAC1}" name="RUT OFERENTE"/>
    <tableColumn id="2" xr3:uid="{C71DCDF8-7972-4B7F-984B-F9827A30AD34}" name="NOMBRE OFERENTE"/>
    <tableColumn id="16" xr3:uid="{21922F0F-2CCB-47F5-BD08-A4106C8303D7}" name="OBSERVACIÓN"/>
    <tableColumn id="3" xr3:uid="{8828AD04-475D-4FC1-BD40-0FB6637A9354}" name="LINEA" dataDxfId="7"/>
    <tableColumn id="4" xr3:uid="{8A989A0C-19D4-4FE4-8B84-FF87C00C75C6}" name="MONTO OFERTADO" dataCellStyle="Millares [0]"/>
    <tableColumn id="5" xr3:uid="{6E41042D-C7C4-4934-B8FE-F67B1B3AAF00}" name="MENOR VALOR" dataCellStyle="Millares [0]"/>
    <tableColumn id="9" xr3:uid="{3539BD41-3F0F-4F05-8035-3980AB054691}" name="PUNTAJE C1" dataDxfId="3" dataCellStyle="Millares [0]">
      <calculatedColumnFormula>(Tabla1343[[#This Row],[MENOR VALOR]]/Tabla1343[[#This Row],[MONTO OFERTADO]])*100</calculatedColumnFormula>
    </tableColumn>
    <tableColumn id="8" xr3:uid="{BA5D6AF2-3FC9-40A1-BEB8-38800E7DEA9C}" name="PUNTAJE PONDERADO C1" dataDxfId="2" dataCellStyle="Millares [0]">
      <calculatedColumnFormula>Tabla1343[[#This Row],[PUNTAJE C1]]*0.5</calculatedColumnFormula>
    </tableColumn>
    <tableColumn id="6" xr3:uid="{DD87245A-982B-4C50-BB44-7F628964E73D}" name="PLAZO ENTREGA"/>
    <tableColumn id="11" xr3:uid="{02CD47B0-C8E0-4E26-9B87-922316F4B3B8}" name="PUNTAJE C2"/>
    <tableColumn id="10" xr3:uid="{E72FE575-5BCA-4A4C-A8D8-FA3CBA36F72B}" name="PUNTAJE PONDERADO C2" dataDxfId="14">
      <calculatedColumnFormula>Tabla1343[[#This Row],[PUNTAJE C2]]*0.4</calculatedColumnFormula>
    </tableColumn>
    <tableColumn id="7" xr3:uid="{405CC083-D185-4816-A8AD-B8BF377B8425}" name="MESES DE GARANTÍA"/>
    <tableColumn id="12" xr3:uid="{792DC186-679E-4BB8-B5F5-10F35276C44A}" name="PUNTAJE C3"/>
    <tableColumn id="13" xr3:uid="{CBDBB7DB-6AC8-4AFD-B5BA-9522D42CA604}" name="PUNTAJE PONDERADO C3" dataDxfId="13">
      <calculatedColumnFormula>Tabla1343[[#This Row],[PUNTAJE C3]]*0.1</calculatedColumnFormula>
    </tableColumn>
    <tableColumn id="14" xr3:uid="{6894A879-2A1A-4A29-8309-6D96D30E3C22}" name="PUNTAJE PONDERADO TOTAL" dataDxfId="12" dataCellStyle="Millares [0]">
      <calculatedColumnFormula>SUM(Tabla1343[[#This Row],[PUNTAJE PONDERADO C1]],Tabla1343[[#This Row],[PUNTAJE PONDERADO C2]],Tabla1343[[#This Row],[PUNTAJE PONDERADO C3]])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2CCEE85-1C0D-4A95-8266-18CA7F9C5213}" name="Tabla13467" displayName="Tabla13467" ref="A15:O19" totalsRowShown="0">
  <autoFilter ref="A15:O19" xr:uid="{72CCEE85-1C0D-4A95-8266-18CA7F9C5213}"/>
  <tableColumns count="15">
    <tableColumn id="1" xr3:uid="{6AC632E0-D07B-4E23-8583-89025E4E18ED}" name="RUT OFERENTE"/>
    <tableColumn id="2" xr3:uid="{9E3CEAC5-D048-45B2-A3F3-25DD2A051BF4}" name="NOMBRE OFERENTE"/>
    <tableColumn id="8" xr3:uid="{CEC532B6-1FEE-45CE-9131-24769644FF20}" name="OBSERVACIÓN"/>
    <tableColumn id="3" xr3:uid="{6DADA5C5-4BBB-4559-BD55-F449DE80DEDC}" name="LINEA" dataDxfId="6"/>
    <tableColumn id="4" xr3:uid="{25EBA05F-C83B-403A-921E-4E488379AF74}" name="MONTO OFERTADO" dataCellStyle="Millares [0]"/>
    <tableColumn id="5" xr3:uid="{2DFDEBCB-E9FD-4EE1-80FD-192AEB3BF257}" name="MENOR VALOR" dataCellStyle="Millares [0]"/>
    <tableColumn id="10" xr3:uid="{70536AB8-D5E6-4628-AA85-F0743A18B447}" name="PUNTAJE C1" dataDxfId="1" dataCellStyle="Millares [0]">
      <calculatedColumnFormula>(Tabla13467[[#This Row],[MENOR VALOR]]/Tabla13467[[#This Row],[MONTO OFERTADO]])*100</calculatedColumnFormula>
    </tableColumn>
    <tableColumn id="9" xr3:uid="{D450DDB6-70CB-479A-BAA7-38AE761E70ED}" name="PUNTAJE PONDERADO C1" dataDxfId="0" dataCellStyle="Millares [0]">
      <calculatedColumnFormula>Tabla13467[[#This Row],[PUNTAJE C1]]*0.5</calculatedColumnFormula>
    </tableColumn>
    <tableColumn id="6" xr3:uid="{1D749CB2-2790-44AC-BB16-888A78E69C6B}" name="PLAZO ENTREGA"/>
    <tableColumn id="12" xr3:uid="{D3ECD6F0-E3F3-4D91-916C-CBB4CE6D5B28}" name="PUNTAJE C2"/>
    <tableColumn id="11" xr3:uid="{DA5EC4BB-935E-43B8-A5A5-D736D9256A9F}" name="PUNTAJE PONDERADO C2" dataDxfId="11">
      <calculatedColumnFormula>Tabla13467[[#This Row],[PUNTAJE C2]]*0.4</calculatedColumnFormula>
    </tableColumn>
    <tableColumn id="7" xr3:uid="{0B381411-48CA-40BE-8165-716B4D82A982}" name="MESES DE GARANTÍA"/>
    <tableColumn id="13" xr3:uid="{B8B668BA-CED2-4404-95D0-D226F56ADCCD}" name="PUNTAJE C3"/>
    <tableColumn id="14" xr3:uid="{8D61D7C4-CCB2-432C-BD33-79CED4BE31BB}" name="PUNTAJE PONDERADO C3" dataDxfId="10">
      <calculatedColumnFormula>Tabla13467[[#This Row],[PUNTAJE C3]]*0.1</calculatedColumnFormula>
    </tableColumn>
    <tableColumn id="15" xr3:uid="{AAD95C6F-7225-416A-846F-C7EE1F6B7FA6}" name="PUNTAJE PONDERADO TOTAL" dataDxfId="9" dataCellStyle="Millares [0]">
      <calculatedColumnFormula>SUM(Tabla13467[[#This Row],[PUNTAJE PONDERADO C1]],Tabla13467[[#This Row],[PUNTAJE PONDERADO C2]],Tabla13467[[#This Row],[PUNTAJE PONDERADO C3]])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60BC78-A069-4FC3-BAE7-CB65533045DB}" name="Tabla1" displayName="Tabla1" ref="A1:G13" totalsRowShown="0">
  <autoFilter ref="A1:G13" xr:uid="{0A60BC78-A069-4FC3-BAE7-CB65533045DB}"/>
  <tableColumns count="7">
    <tableColumn id="1" xr3:uid="{18E561C0-F384-48B3-BB4D-B6E41D5BB844}" name="RUT OFERENTE"/>
    <tableColumn id="2" xr3:uid="{12497714-F0BE-4326-9FFA-3F471C916F16}" name="NOMBRE OFERENTE"/>
    <tableColumn id="3" xr3:uid="{579B7661-ECD4-4135-B530-0FBC710A5D9A}" name="LINEA"/>
    <tableColumn id="4" xr3:uid="{F22114FD-D767-42C3-8BE2-355598CA23D9}" name="MONTO OFERTADO" dataCellStyle="Millares [0]"/>
    <tableColumn id="5" xr3:uid="{6EB9F96E-688E-4D25-9A94-7A2F145B477B}" name="MENOR VALOR" dataCellStyle="Millares [0]"/>
    <tableColumn id="6" xr3:uid="{387492A5-15D3-4938-8A0C-8AB413020F2F}" name="PLAZO ENTREGA"/>
    <tableColumn id="7" xr3:uid="{43B774C0-9AA0-442C-BB2D-F87B86D145DC}" name="MESES DE GARANTÍ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4B1-CCD2-40C6-A0B9-FBDF66339DAF}">
  <dimension ref="A1:P35"/>
  <sheetViews>
    <sheetView showGridLines="0" tabSelected="1" workbookViewId="0">
      <pane xSplit="4" topLeftCell="E1" activePane="topRight" state="frozen"/>
      <selection pane="topRight" activeCell="H38" sqref="H38"/>
    </sheetView>
  </sheetViews>
  <sheetFormatPr baseColWidth="10" defaultRowHeight="14.4" x14ac:dyDescent="0.3"/>
  <cols>
    <col min="1" max="1" width="16.21875" bestFit="1" customWidth="1"/>
    <col min="2" max="2" width="20.5546875" bestFit="1" customWidth="1"/>
    <col min="3" max="3" width="36.21875" bestFit="1" customWidth="1"/>
    <col min="4" max="4" width="11.21875" style="16" customWidth="1"/>
    <col min="5" max="5" width="19.77734375" bestFit="1" customWidth="1"/>
    <col min="6" max="6" width="15.88671875" bestFit="1" customWidth="1"/>
    <col min="7" max="7" width="15.88671875" style="16" customWidth="1"/>
    <col min="8" max="8" width="17.21875" style="16" bestFit="1" customWidth="1"/>
    <col min="9" max="9" width="17.21875" bestFit="1" customWidth="1"/>
    <col min="10" max="11" width="17.21875" customWidth="1"/>
    <col min="12" max="12" width="21.21875" bestFit="1" customWidth="1"/>
    <col min="13" max="13" width="14.6640625" customWidth="1"/>
    <col min="14" max="14" width="17.21875" bestFit="1" customWidth="1"/>
    <col min="15" max="15" width="20.33203125" customWidth="1"/>
    <col min="16" max="16" width="24.21875" customWidth="1"/>
  </cols>
  <sheetData>
    <row r="1" spans="1:15" ht="28.95" customHeight="1" x14ac:dyDescent="0.3">
      <c r="A1" s="2" t="s">
        <v>0</v>
      </c>
      <c r="B1" s="2" t="s">
        <v>1</v>
      </c>
      <c r="C1" s="2" t="s">
        <v>15</v>
      </c>
      <c r="D1" s="15" t="s">
        <v>2</v>
      </c>
      <c r="E1" s="2" t="s">
        <v>3</v>
      </c>
      <c r="F1" s="2" t="s">
        <v>4</v>
      </c>
      <c r="G1" s="15" t="s">
        <v>16</v>
      </c>
      <c r="H1" s="28" t="s">
        <v>19</v>
      </c>
      <c r="I1" s="2" t="s">
        <v>7</v>
      </c>
      <c r="J1" s="2" t="s">
        <v>17</v>
      </c>
      <c r="K1" s="4" t="s">
        <v>18</v>
      </c>
      <c r="L1" s="2" t="s">
        <v>8</v>
      </c>
      <c r="M1" s="2" t="s">
        <v>20</v>
      </c>
      <c r="N1" s="4" t="s">
        <v>21</v>
      </c>
      <c r="O1" s="2" t="s">
        <v>22</v>
      </c>
    </row>
    <row r="2" spans="1:15" x14ac:dyDescent="0.3">
      <c r="A2" t="s">
        <v>6</v>
      </c>
      <c r="B2" t="s">
        <v>5</v>
      </c>
      <c r="D2" s="16">
        <v>1</v>
      </c>
      <c r="E2" s="1">
        <v>13860669</v>
      </c>
      <c r="F2" s="1">
        <v>12860000</v>
      </c>
      <c r="G2" s="29">
        <f>(Tabla1345[[#This Row],[MENOR VALOR]]/Tabla1345[[#This Row],[MONTO OFERTADO]])*100</f>
        <v>92.780514418171293</v>
      </c>
      <c r="H2" s="30">
        <f>Tabla1345[[#This Row],[PUNTAJE]]*0.5</f>
        <v>46.390257209085647</v>
      </c>
      <c r="I2">
        <v>9</v>
      </c>
      <c r="J2">
        <v>50</v>
      </c>
      <c r="K2" s="3">
        <f>Tabla1345[[#This Row],[PUNTAJE C2]]*0.4</f>
        <v>20</v>
      </c>
      <c r="L2">
        <v>9</v>
      </c>
      <c r="M2">
        <v>100</v>
      </c>
      <c r="N2" s="3">
        <f>Tabla1345[[#This Row],[PUNTAJE C3]]*0.1</f>
        <v>10</v>
      </c>
      <c r="O2" s="5">
        <f>SUM(Tabla1345[[#This Row],[PUNTAJE PONDERADO C1]],Tabla1345[[#This Row],[PUNTAJE PONDERADO C2]],Tabla1345[[#This Row],[PUNTAJE PONDERADO C3]])</f>
        <v>76.390257209085647</v>
      </c>
    </row>
    <row r="3" spans="1:15" x14ac:dyDescent="0.3">
      <c r="A3" t="s">
        <v>10</v>
      </c>
      <c r="B3" t="s">
        <v>9</v>
      </c>
      <c r="D3" s="16">
        <v>1</v>
      </c>
      <c r="E3" s="1">
        <v>13031692</v>
      </c>
      <c r="F3" s="1">
        <v>12860000</v>
      </c>
      <c r="G3" s="29">
        <f>(Tabla1345[[#This Row],[MENOR VALOR]]/Tabla1345[[#This Row],[MONTO OFERTADO]])*100</f>
        <v>98.682504159858908</v>
      </c>
      <c r="H3" s="30">
        <f>Tabla1345[[#This Row],[PUNTAJE]]*0.5</f>
        <v>49.341252079929454</v>
      </c>
      <c r="I3">
        <v>5</v>
      </c>
      <c r="J3">
        <v>100</v>
      </c>
      <c r="K3" s="3">
        <f>Tabla1345[[#This Row],[PUNTAJE C2]]*0.4</f>
        <v>40</v>
      </c>
      <c r="L3">
        <v>10</v>
      </c>
      <c r="M3">
        <v>100</v>
      </c>
      <c r="N3" s="3">
        <f>Tabla1345[[#This Row],[PUNTAJE C3]]*0.1</f>
        <v>10</v>
      </c>
      <c r="O3" s="5">
        <f>SUM(Tabla1345[[#This Row],[PUNTAJE PONDERADO C1]],Tabla1345[[#This Row],[PUNTAJE PONDERADO C2]],Tabla1345[[#This Row],[PUNTAJE PONDERADO C3]])</f>
        <v>99.341252079929461</v>
      </c>
    </row>
    <row r="4" spans="1:15" x14ac:dyDescent="0.3">
      <c r="A4" t="s">
        <v>12</v>
      </c>
      <c r="B4" t="s">
        <v>11</v>
      </c>
      <c r="D4" s="16">
        <v>1</v>
      </c>
      <c r="E4" s="1">
        <v>12860000</v>
      </c>
      <c r="F4" s="1">
        <v>12860000</v>
      </c>
      <c r="G4" s="29">
        <f>(Tabla1345[[#This Row],[MENOR VALOR]]/Tabla1345[[#This Row],[MONTO OFERTADO]])*100</f>
        <v>100</v>
      </c>
      <c r="H4" s="30">
        <f>Tabla1345[[#This Row],[PUNTAJE]]*0.5</f>
        <v>50</v>
      </c>
      <c r="I4">
        <v>9</v>
      </c>
      <c r="J4">
        <v>50</v>
      </c>
      <c r="K4" s="3">
        <f>Tabla1345[[#This Row],[PUNTAJE C2]]*0.4</f>
        <v>20</v>
      </c>
      <c r="L4">
        <v>6</v>
      </c>
      <c r="M4">
        <v>50</v>
      </c>
      <c r="N4" s="3">
        <f>Tabla1345[[#This Row],[PUNTAJE C3]]*0.1</f>
        <v>5</v>
      </c>
      <c r="O4" s="5">
        <f>SUM(Tabla1345[[#This Row],[PUNTAJE PONDERADO C1]],Tabla1345[[#This Row],[PUNTAJE PONDERADO C2]],Tabla1345[[#This Row],[PUNTAJE PONDERADO C3]])</f>
        <v>75</v>
      </c>
    </row>
    <row r="5" spans="1:15" s="11" customFormat="1" ht="78.599999999999994" customHeight="1" x14ac:dyDescent="0.3">
      <c r="A5" s="11" t="s">
        <v>14</v>
      </c>
      <c r="B5" s="11" t="s">
        <v>13</v>
      </c>
      <c r="C5" s="12" t="s">
        <v>26</v>
      </c>
      <c r="D5" s="17">
        <v>1</v>
      </c>
      <c r="E5" s="13"/>
      <c r="F5" s="13"/>
      <c r="G5" s="31"/>
      <c r="H5" s="32">
        <f>Tabla1345[[#This Row],[PUNTAJE]]*0.5</f>
        <v>0</v>
      </c>
      <c r="K5" s="14"/>
      <c r="N5" s="14"/>
    </row>
    <row r="8" spans="1:15" ht="28.8" x14ac:dyDescent="0.3">
      <c r="A8" t="s">
        <v>0</v>
      </c>
      <c r="B8" t="s">
        <v>1</v>
      </c>
      <c r="C8" s="2" t="s">
        <v>15</v>
      </c>
      <c r="D8" s="16" t="s">
        <v>2</v>
      </c>
      <c r="E8" t="s">
        <v>3</v>
      </c>
      <c r="F8" t="s">
        <v>4</v>
      </c>
      <c r="G8" s="16" t="s">
        <v>23</v>
      </c>
      <c r="H8" s="28" t="s">
        <v>19</v>
      </c>
      <c r="I8" t="s">
        <v>7</v>
      </c>
      <c r="J8" t="s">
        <v>17</v>
      </c>
      <c r="K8" s="4" t="s">
        <v>18</v>
      </c>
      <c r="L8" t="s">
        <v>8</v>
      </c>
      <c r="M8" t="s">
        <v>20</v>
      </c>
      <c r="N8" s="4" t="s">
        <v>21</v>
      </c>
      <c r="O8" s="2" t="s">
        <v>22</v>
      </c>
    </row>
    <row r="9" spans="1:15" x14ac:dyDescent="0.3">
      <c r="A9" t="s">
        <v>6</v>
      </c>
      <c r="B9" t="s">
        <v>5</v>
      </c>
      <c r="D9" s="16">
        <v>2</v>
      </c>
      <c r="E9" s="1">
        <v>1155844</v>
      </c>
      <c r="F9" s="1">
        <v>1090680</v>
      </c>
      <c r="G9" s="29">
        <f>(Tabla1343[[#This Row],[MENOR VALOR]]/Tabla1343[[#This Row],[MONTO OFERTADO]])*100</f>
        <v>94.362214970186287</v>
      </c>
      <c r="H9" s="30">
        <f>Tabla1343[[#This Row],[PUNTAJE C1]]*0.5</f>
        <v>47.181107485093143</v>
      </c>
      <c r="I9">
        <v>9</v>
      </c>
      <c r="J9">
        <v>50</v>
      </c>
      <c r="K9" s="6">
        <f>Tabla1343[[#This Row],[PUNTAJE C2]]*0.4</f>
        <v>20</v>
      </c>
      <c r="L9">
        <v>9</v>
      </c>
      <c r="M9">
        <v>100</v>
      </c>
      <c r="N9" s="3">
        <f>Tabla1343[[#This Row],[PUNTAJE C3]]*0.1</f>
        <v>10</v>
      </c>
      <c r="O9" s="5">
        <f>SUM(Tabla1343[[#This Row],[PUNTAJE PONDERADO C1]],Tabla1343[[#This Row],[PUNTAJE PONDERADO C2]],Tabla1343[[#This Row],[PUNTAJE PONDERADO C3]])</f>
        <v>77.18110748509315</v>
      </c>
    </row>
    <row r="10" spans="1:15" x14ac:dyDescent="0.3">
      <c r="A10" t="s">
        <v>10</v>
      </c>
      <c r="B10" t="s">
        <v>9</v>
      </c>
      <c r="D10" s="16">
        <v>2</v>
      </c>
      <c r="E10" s="1">
        <v>1409558</v>
      </c>
      <c r="F10" s="1">
        <v>1090680</v>
      </c>
      <c r="G10" s="29">
        <f>(Tabla1343[[#This Row],[MENOR VALOR]]/Tabla1343[[#This Row],[MONTO OFERTADO]])*100</f>
        <v>77.377447398404314</v>
      </c>
      <c r="H10" s="30">
        <f>Tabla1343[[#This Row],[PUNTAJE C1]]*0.5</f>
        <v>38.688723699202157</v>
      </c>
      <c r="I10">
        <v>5</v>
      </c>
      <c r="J10">
        <v>100</v>
      </c>
      <c r="K10" s="6">
        <f>Tabla1343[[#This Row],[PUNTAJE C2]]*0.4</f>
        <v>40</v>
      </c>
      <c r="L10">
        <v>10</v>
      </c>
      <c r="M10">
        <v>100</v>
      </c>
      <c r="N10" s="3">
        <f>Tabla1343[[#This Row],[PUNTAJE C3]]*0.1</f>
        <v>10</v>
      </c>
      <c r="O10" s="5">
        <f>SUM(Tabla1343[[#This Row],[PUNTAJE PONDERADO C1]],Tabla1343[[#This Row],[PUNTAJE PONDERADO C2]],Tabla1343[[#This Row],[PUNTAJE PONDERADO C3]])</f>
        <v>88.688723699202157</v>
      </c>
    </row>
    <row r="11" spans="1:15" x14ac:dyDescent="0.3">
      <c r="A11" t="s">
        <v>12</v>
      </c>
      <c r="B11" t="s">
        <v>11</v>
      </c>
      <c r="D11" s="16">
        <v>2</v>
      </c>
      <c r="E11" s="1">
        <v>1120000</v>
      </c>
      <c r="F11" s="1">
        <v>1090680</v>
      </c>
      <c r="G11" s="29">
        <f>(Tabla1343[[#This Row],[MENOR VALOR]]/Tabla1343[[#This Row],[MONTO OFERTADO]])*100</f>
        <v>97.382142857142867</v>
      </c>
      <c r="H11" s="30">
        <f>Tabla1343[[#This Row],[PUNTAJE C1]]*0.5</f>
        <v>48.691071428571433</v>
      </c>
      <c r="I11">
        <v>9</v>
      </c>
      <c r="J11">
        <v>50</v>
      </c>
      <c r="K11" s="6">
        <f>Tabla1343[[#This Row],[PUNTAJE C2]]*0.4</f>
        <v>20</v>
      </c>
      <c r="L11">
        <v>6</v>
      </c>
      <c r="M11">
        <v>50</v>
      </c>
      <c r="N11" s="3">
        <f>Tabla1343[[#This Row],[PUNTAJE C3]]*0.1</f>
        <v>5</v>
      </c>
      <c r="O11" s="5">
        <f>SUM(Tabla1343[[#This Row],[PUNTAJE PONDERADO C1]],Tabla1343[[#This Row],[PUNTAJE PONDERADO C2]],Tabla1343[[#This Row],[PUNTAJE PONDERADO C3]])</f>
        <v>73.691071428571433</v>
      </c>
    </row>
    <row r="12" spans="1:15" x14ac:dyDescent="0.3">
      <c r="A12" t="s">
        <v>14</v>
      </c>
      <c r="B12" t="s">
        <v>13</v>
      </c>
      <c r="D12" s="16">
        <v>2</v>
      </c>
      <c r="E12" s="1">
        <v>1090680</v>
      </c>
      <c r="F12" s="1">
        <v>1090680</v>
      </c>
      <c r="G12" s="29">
        <f>(Tabla1343[[#This Row],[MENOR VALOR]]/Tabla1343[[#This Row],[MONTO OFERTADO]])*100</f>
        <v>100</v>
      </c>
      <c r="H12" s="30">
        <f>Tabla1343[[#This Row],[PUNTAJE C1]]*0.5</f>
        <v>50</v>
      </c>
      <c r="I12">
        <v>5</v>
      </c>
      <c r="J12">
        <v>100</v>
      </c>
      <c r="K12" s="6">
        <f>Tabla1343[[#This Row],[PUNTAJE C2]]*0.4</f>
        <v>40</v>
      </c>
      <c r="L12">
        <v>24</v>
      </c>
      <c r="M12">
        <v>100</v>
      </c>
      <c r="N12" s="3">
        <f>Tabla1343[[#This Row],[PUNTAJE C3]]*0.1</f>
        <v>10</v>
      </c>
      <c r="O12" s="5">
        <f>SUM(Tabla1343[[#This Row],[PUNTAJE PONDERADO C1]],Tabla1343[[#This Row],[PUNTAJE PONDERADO C2]],Tabla1343[[#This Row],[PUNTAJE PONDERADO C3]])</f>
        <v>100</v>
      </c>
    </row>
    <row r="15" spans="1:15" ht="28.8" x14ac:dyDescent="0.3">
      <c r="A15" t="s">
        <v>0</v>
      </c>
      <c r="B15" t="s">
        <v>1</v>
      </c>
      <c r="C15" t="s">
        <v>15</v>
      </c>
      <c r="D15" s="16" t="s">
        <v>2</v>
      </c>
      <c r="E15" t="s">
        <v>3</v>
      </c>
      <c r="F15" t="s">
        <v>4</v>
      </c>
      <c r="G15" s="16" t="s">
        <v>23</v>
      </c>
      <c r="H15" s="28" t="s">
        <v>19</v>
      </c>
      <c r="I15" t="s">
        <v>7</v>
      </c>
      <c r="J15" t="s">
        <v>17</v>
      </c>
      <c r="K15" s="4" t="s">
        <v>18</v>
      </c>
      <c r="L15" t="s">
        <v>8</v>
      </c>
      <c r="M15" t="s">
        <v>20</v>
      </c>
      <c r="N15" s="4" t="s">
        <v>21</v>
      </c>
      <c r="O15" s="2" t="s">
        <v>22</v>
      </c>
    </row>
    <row r="16" spans="1:15" x14ac:dyDescent="0.3">
      <c r="A16" t="s">
        <v>6</v>
      </c>
      <c r="B16" t="s">
        <v>5</v>
      </c>
      <c r="D16" s="16">
        <v>3</v>
      </c>
      <c r="E16" s="1">
        <v>4192864</v>
      </c>
      <c r="F16" s="1">
        <v>4075441</v>
      </c>
      <c r="G16" s="29">
        <f>(Tabla13467[[#This Row],[MENOR VALOR]]/Tabla13467[[#This Row],[MONTO OFERTADO]])*100</f>
        <v>97.199456028146869</v>
      </c>
      <c r="H16" s="33">
        <f>Tabla13467[[#This Row],[PUNTAJE C1]]*0.5</f>
        <v>48.599728014073435</v>
      </c>
      <c r="I16">
        <v>9</v>
      </c>
      <c r="J16">
        <v>50</v>
      </c>
      <c r="K16" s="6">
        <f>Tabla13467[[#This Row],[PUNTAJE C2]]*0.4</f>
        <v>20</v>
      </c>
      <c r="L16">
        <v>9</v>
      </c>
      <c r="M16">
        <v>100</v>
      </c>
      <c r="N16" s="6">
        <f>Tabla13467[[#This Row],[PUNTAJE C3]]*0.1</f>
        <v>10</v>
      </c>
      <c r="O16" s="5">
        <f>SUM(Tabla13467[[#This Row],[PUNTAJE PONDERADO C1]],Tabla13467[[#This Row],[PUNTAJE PONDERADO C2]],Tabla13467[[#This Row],[PUNTAJE PONDERADO C3]])</f>
        <v>78.599728014073435</v>
      </c>
    </row>
    <row r="17" spans="1:16" x14ac:dyDescent="0.3">
      <c r="A17" t="s">
        <v>10</v>
      </c>
      <c r="B17" t="s">
        <v>9</v>
      </c>
      <c r="D17" s="16">
        <v>3</v>
      </c>
      <c r="E17" s="1">
        <v>4075441</v>
      </c>
      <c r="F17" s="1">
        <v>4075441</v>
      </c>
      <c r="G17" s="29">
        <f>(Tabla13467[[#This Row],[MENOR VALOR]]/Tabla13467[[#This Row],[MONTO OFERTADO]])*100</f>
        <v>100</v>
      </c>
      <c r="H17" s="33">
        <f>Tabla13467[[#This Row],[PUNTAJE C1]]*0.5</f>
        <v>50</v>
      </c>
      <c r="I17">
        <v>5</v>
      </c>
      <c r="J17">
        <v>100</v>
      </c>
      <c r="K17" s="6">
        <f>Tabla13467[[#This Row],[PUNTAJE C2]]*0.4</f>
        <v>40</v>
      </c>
      <c r="L17">
        <v>10</v>
      </c>
      <c r="M17">
        <v>100</v>
      </c>
      <c r="N17" s="6">
        <f>Tabla13467[[#This Row],[PUNTAJE C3]]*0.1</f>
        <v>10</v>
      </c>
      <c r="O17" s="5">
        <f>SUM(Tabla13467[[#This Row],[PUNTAJE PONDERADO C1]],Tabla13467[[#This Row],[PUNTAJE PONDERADO C2]],Tabla13467[[#This Row],[PUNTAJE PONDERADO C3]])</f>
        <v>100</v>
      </c>
    </row>
    <row r="18" spans="1:16" s="11" customFormat="1" ht="30" customHeight="1" x14ac:dyDescent="0.3">
      <c r="A18" s="11" t="s">
        <v>12</v>
      </c>
      <c r="B18" s="11" t="s">
        <v>11</v>
      </c>
      <c r="C18" s="12" t="s">
        <v>27</v>
      </c>
      <c r="D18" s="17">
        <v>3</v>
      </c>
      <c r="E18" s="13"/>
      <c r="F18" s="13"/>
      <c r="G18" s="31"/>
      <c r="H18" s="34"/>
      <c r="K18" s="18"/>
      <c r="N18" s="18"/>
      <c r="O18" s="19"/>
    </row>
    <row r="19" spans="1:16" s="11" customFormat="1" ht="30.6" customHeight="1" x14ac:dyDescent="0.3">
      <c r="A19" s="11" t="s">
        <v>14</v>
      </c>
      <c r="B19" s="11" t="s">
        <v>13</v>
      </c>
      <c r="C19" s="12" t="s">
        <v>27</v>
      </c>
      <c r="D19" s="17">
        <v>3</v>
      </c>
      <c r="E19" s="13"/>
      <c r="F19" s="13"/>
      <c r="G19" s="31"/>
      <c r="H19" s="34"/>
      <c r="K19" s="18"/>
      <c r="N19" s="18"/>
      <c r="O19" s="19"/>
    </row>
    <row r="22" spans="1:16" ht="15.6" x14ac:dyDescent="0.3">
      <c r="A22" s="39" t="s">
        <v>28</v>
      </c>
      <c r="B22" s="40"/>
      <c r="C22" s="40"/>
      <c r="D22" s="40"/>
    </row>
    <row r="24" spans="1:16" ht="28.8" x14ac:dyDescent="0.3">
      <c r="A24" s="9" t="s">
        <v>0</v>
      </c>
      <c r="B24" s="10" t="s">
        <v>1</v>
      </c>
      <c r="C24" s="10" t="s">
        <v>15</v>
      </c>
      <c r="D24" s="20"/>
      <c r="E24" s="10" t="s">
        <v>3</v>
      </c>
      <c r="F24" s="10" t="s">
        <v>4</v>
      </c>
      <c r="G24" s="20" t="s">
        <v>23</v>
      </c>
      <c r="H24" s="35" t="s">
        <v>19</v>
      </c>
      <c r="I24" s="10" t="s">
        <v>7</v>
      </c>
      <c r="J24" s="10" t="s">
        <v>17</v>
      </c>
      <c r="K24" s="21" t="s">
        <v>18</v>
      </c>
      <c r="L24" s="10" t="s">
        <v>8</v>
      </c>
      <c r="M24" s="10" t="s">
        <v>20</v>
      </c>
      <c r="N24" s="21" t="s">
        <v>21</v>
      </c>
      <c r="O24" s="22" t="s">
        <v>22</v>
      </c>
      <c r="P24" s="41" t="s">
        <v>24</v>
      </c>
    </row>
    <row r="25" spans="1:16" x14ac:dyDescent="0.3">
      <c r="A25" s="7" t="s">
        <v>6</v>
      </c>
      <c r="B25" s="8" t="s">
        <v>5</v>
      </c>
      <c r="C25" s="8"/>
      <c r="D25" s="8"/>
      <c r="E25" s="26">
        <v>19209377</v>
      </c>
      <c r="F25" s="26">
        <v>18516691</v>
      </c>
      <c r="G25" s="36">
        <f>+($F$25/E25)*100</f>
        <v>96.394021523967183</v>
      </c>
      <c r="H25" s="36">
        <f>(G25*0.5)</f>
        <v>48.197010761983591</v>
      </c>
      <c r="I25" s="8">
        <v>9</v>
      </c>
      <c r="J25" s="8">
        <v>50</v>
      </c>
      <c r="K25" s="8">
        <f>+J25*0.4</f>
        <v>20</v>
      </c>
      <c r="L25" s="8">
        <v>9</v>
      </c>
      <c r="M25" s="8">
        <v>100</v>
      </c>
      <c r="N25" s="8">
        <f>+M25*0.1</f>
        <v>10</v>
      </c>
      <c r="O25" s="27">
        <f>+N25+K25+H25</f>
        <v>78.197010761983591</v>
      </c>
      <c r="P25" s="8"/>
    </row>
    <row r="26" spans="1:16" x14ac:dyDescent="0.3">
      <c r="A26" s="23" t="s">
        <v>10</v>
      </c>
      <c r="B26" s="23" t="s">
        <v>9</v>
      </c>
      <c r="C26" s="23"/>
      <c r="D26" s="23"/>
      <c r="E26" s="42">
        <v>18516691</v>
      </c>
      <c r="F26" s="42">
        <v>18516691</v>
      </c>
      <c r="G26" s="23">
        <f t="shared" ref="G26" si="0">+($F$25/E26)*100</f>
        <v>100</v>
      </c>
      <c r="H26" s="23">
        <f t="shared" ref="H26" si="1">(G26*0.5)</f>
        <v>50</v>
      </c>
      <c r="I26" s="23">
        <v>5</v>
      </c>
      <c r="J26" s="23">
        <v>100</v>
      </c>
      <c r="K26" s="23">
        <f t="shared" ref="K26" si="2">+J26*0.4</f>
        <v>40</v>
      </c>
      <c r="L26" s="23">
        <v>10</v>
      </c>
      <c r="M26" s="23">
        <v>100</v>
      </c>
      <c r="N26" s="23">
        <f>+M26*0.1</f>
        <v>10</v>
      </c>
      <c r="O26" s="23">
        <f t="shared" ref="O26" si="3">+N26+K26+H26</f>
        <v>100</v>
      </c>
      <c r="P26" s="23" t="s">
        <v>25</v>
      </c>
    </row>
    <row r="28" spans="1:16" x14ac:dyDescent="0.3">
      <c r="A28" s="38" t="s">
        <v>29</v>
      </c>
      <c r="B28" s="38"/>
      <c r="C28" s="38"/>
      <c r="D28" s="43"/>
    </row>
    <row r="29" spans="1:16" ht="7.8" customHeight="1" x14ac:dyDescent="0.3">
      <c r="A29" s="38"/>
      <c r="B29" s="38"/>
      <c r="C29" s="38"/>
      <c r="D29" s="43"/>
    </row>
    <row r="30" spans="1:16" ht="14.4" customHeight="1" x14ac:dyDescent="0.3">
      <c r="A30" s="44" t="s">
        <v>30</v>
      </c>
      <c r="B30" s="44"/>
      <c r="C30" s="44"/>
      <c r="D30" s="44"/>
      <c r="G30" s="37"/>
      <c r="H30" s="37"/>
    </row>
    <row r="31" spans="1:16" x14ac:dyDescent="0.3">
      <c r="A31" s="44"/>
      <c r="B31" s="44"/>
      <c r="C31" s="44"/>
      <c r="D31" s="44"/>
    </row>
    <row r="32" spans="1:16" x14ac:dyDescent="0.3">
      <c r="A32" s="44"/>
      <c r="B32" s="44"/>
      <c r="C32" s="44"/>
      <c r="D32" s="44"/>
    </row>
    <row r="33" spans="1:4" x14ac:dyDescent="0.3">
      <c r="A33" s="44"/>
      <c r="B33" s="44"/>
      <c r="C33" s="44"/>
      <c r="D33" s="44"/>
    </row>
    <row r="34" spans="1:4" x14ac:dyDescent="0.3">
      <c r="A34" s="44"/>
      <c r="B34" s="44"/>
      <c r="C34" s="44"/>
      <c r="D34" s="44"/>
    </row>
    <row r="35" spans="1:4" x14ac:dyDescent="0.3">
      <c r="A35" s="44"/>
      <c r="B35" s="44"/>
      <c r="C35" s="44"/>
      <c r="D35" s="44"/>
    </row>
  </sheetData>
  <mergeCells count="2">
    <mergeCell ref="A22:D22"/>
    <mergeCell ref="A30:D35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8D6B-3111-420F-BC67-404ADDC1811D}">
  <dimension ref="A1:L41"/>
  <sheetViews>
    <sheetView workbookViewId="0">
      <selection activeCell="E7" sqref="E7"/>
    </sheetView>
  </sheetViews>
  <sheetFormatPr baseColWidth="10" defaultRowHeight="14.4" x14ac:dyDescent="0.3"/>
  <cols>
    <col min="1" max="1" width="16.21875" bestFit="1" customWidth="1"/>
    <col min="2" max="2" width="20.5546875" bestFit="1" customWidth="1"/>
    <col min="3" max="3" width="8.21875" bestFit="1" customWidth="1"/>
    <col min="4" max="4" width="19.77734375" bestFit="1" customWidth="1"/>
    <col min="5" max="5" width="15.88671875" bestFit="1" customWidth="1"/>
    <col min="6" max="6" width="17.21875" bestFit="1" customWidth="1"/>
    <col min="7" max="7" width="21.21875" bestFit="1" customWidth="1"/>
    <col min="12" max="12" width="11.777343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</row>
    <row r="2" spans="1:12" x14ac:dyDescent="0.3">
      <c r="A2" t="s">
        <v>6</v>
      </c>
      <c r="B2" t="s">
        <v>5</v>
      </c>
      <c r="C2">
        <v>1</v>
      </c>
      <c r="D2" s="1">
        <v>13860669</v>
      </c>
      <c r="E2" s="1"/>
      <c r="F2">
        <v>9</v>
      </c>
      <c r="G2">
        <v>9</v>
      </c>
    </row>
    <row r="3" spans="1:12" x14ac:dyDescent="0.3">
      <c r="A3" t="s">
        <v>6</v>
      </c>
      <c r="B3" t="s">
        <v>5</v>
      </c>
      <c r="C3">
        <v>2</v>
      </c>
      <c r="D3" s="1">
        <v>1155844</v>
      </c>
      <c r="E3" s="1"/>
      <c r="F3">
        <v>9</v>
      </c>
      <c r="G3">
        <v>9</v>
      </c>
      <c r="K3" s="24">
        <f>+D2+Tabla1[[#This Row],[MONTO OFERTADO]]+D4</f>
        <v>19209377</v>
      </c>
      <c r="L3" s="25">
        <v>19209377</v>
      </c>
    </row>
    <row r="4" spans="1:12" x14ac:dyDescent="0.3">
      <c r="A4" t="s">
        <v>6</v>
      </c>
      <c r="B4" t="s">
        <v>5</v>
      </c>
      <c r="C4">
        <v>3</v>
      </c>
      <c r="D4" s="1">
        <v>4192864</v>
      </c>
      <c r="E4" s="1"/>
      <c r="F4">
        <v>9</v>
      </c>
      <c r="G4">
        <v>9</v>
      </c>
      <c r="K4" s="24">
        <f>+D5+D7+D6</f>
        <v>18516691</v>
      </c>
      <c r="L4" s="25">
        <v>18516691</v>
      </c>
    </row>
    <row r="5" spans="1:12" x14ac:dyDescent="0.3">
      <c r="A5" t="s">
        <v>10</v>
      </c>
      <c r="B5" t="s">
        <v>9</v>
      </c>
      <c r="C5">
        <v>1</v>
      </c>
      <c r="D5" s="1">
        <v>13031692</v>
      </c>
      <c r="E5" s="1"/>
      <c r="F5">
        <v>5</v>
      </c>
      <c r="G5">
        <v>10</v>
      </c>
      <c r="K5" s="24">
        <f>+D8+D9+D10</f>
        <v>20880000</v>
      </c>
      <c r="L5" s="25">
        <v>20880000</v>
      </c>
    </row>
    <row r="6" spans="1:12" x14ac:dyDescent="0.3">
      <c r="A6" t="s">
        <v>10</v>
      </c>
      <c r="B6" t="s">
        <v>9</v>
      </c>
      <c r="C6">
        <v>2</v>
      </c>
      <c r="D6" s="1">
        <v>1409558</v>
      </c>
      <c r="E6" s="1"/>
      <c r="F6">
        <v>5</v>
      </c>
      <c r="G6">
        <v>10</v>
      </c>
      <c r="K6" s="24">
        <f>+D11+D12+D13</f>
        <v>12317169</v>
      </c>
      <c r="L6" s="25">
        <v>12317169</v>
      </c>
    </row>
    <row r="7" spans="1:12" x14ac:dyDescent="0.3">
      <c r="A7" t="s">
        <v>10</v>
      </c>
      <c r="B7" t="s">
        <v>9</v>
      </c>
      <c r="C7">
        <v>3</v>
      </c>
      <c r="D7" s="1">
        <v>4075441</v>
      </c>
      <c r="E7" s="1"/>
      <c r="F7">
        <v>5</v>
      </c>
      <c r="G7">
        <v>10</v>
      </c>
    </row>
    <row r="8" spans="1:12" x14ac:dyDescent="0.3">
      <c r="A8" t="s">
        <v>12</v>
      </c>
      <c r="B8" t="s">
        <v>11</v>
      </c>
      <c r="C8">
        <v>1</v>
      </c>
      <c r="D8" s="1">
        <v>12860000</v>
      </c>
      <c r="E8" s="1"/>
      <c r="F8">
        <v>9</v>
      </c>
      <c r="G8">
        <v>6</v>
      </c>
    </row>
    <row r="9" spans="1:12" x14ac:dyDescent="0.3">
      <c r="A9" t="s">
        <v>12</v>
      </c>
      <c r="B9" t="s">
        <v>11</v>
      </c>
      <c r="C9">
        <v>2</v>
      </c>
      <c r="D9" s="1">
        <v>1120000</v>
      </c>
      <c r="E9" s="1"/>
      <c r="F9">
        <v>9</v>
      </c>
      <c r="G9">
        <v>6</v>
      </c>
    </row>
    <row r="10" spans="1:12" x14ac:dyDescent="0.3">
      <c r="A10" t="s">
        <v>12</v>
      </c>
      <c r="B10" t="s">
        <v>11</v>
      </c>
      <c r="C10">
        <v>3</v>
      </c>
      <c r="D10" s="1">
        <v>6900000</v>
      </c>
      <c r="E10" s="1"/>
      <c r="F10">
        <v>9</v>
      </c>
      <c r="G10">
        <v>6</v>
      </c>
    </row>
    <row r="11" spans="1:12" x14ac:dyDescent="0.3">
      <c r="A11" t="s">
        <v>14</v>
      </c>
      <c r="B11" t="s">
        <v>13</v>
      </c>
      <c r="C11">
        <v>1</v>
      </c>
      <c r="D11" s="1">
        <v>7567436</v>
      </c>
      <c r="E11" s="1"/>
      <c r="F11">
        <v>5</v>
      </c>
      <c r="G11">
        <v>24</v>
      </c>
    </row>
    <row r="12" spans="1:12" x14ac:dyDescent="0.3">
      <c r="A12" t="s">
        <v>14</v>
      </c>
      <c r="B12" t="s">
        <v>13</v>
      </c>
      <c r="C12">
        <v>2</v>
      </c>
      <c r="D12" s="1">
        <v>1090680</v>
      </c>
      <c r="E12" s="1"/>
      <c r="F12">
        <v>5</v>
      </c>
      <c r="G12">
        <v>24</v>
      </c>
    </row>
    <row r="13" spans="1:12" x14ac:dyDescent="0.3">
      <c r="A13" t="s">
        <v>14</v>
      </c>
      <c r="B13" t="s">
        <v>13</v>
      </c>
      <c r="C13">
        <v>3</v>
      </c>
      <c r="D13" s="1">
        <v>3659053</v>
      </c>
      <c r="E13" s="1"/>
      <c r="F13">
        <v>5</v>
      </c>
      <c r="G13">
        <v>24</v>
      </c>
    </row>
    <row r="14" spans="1:12" x14ac:dyDescent="0.3">
      <c r="D14" s="1"/>
      <c r="E14" s="1"/>
      <c r="F14" s="1"/>
    </row>
    <row r="15" spans="1:12" x14ac:dyDescent="0.3">
      <c r="D15" s="1"/>
      <c r="E15" s="1"/>
      <c r="F15" s="1"/>
    </row>
    <row r="16" spans="1:12" x14ac:dyDescent="0.3">
      <c r="D16" s="1"/>
      <c r="E16" s="1"/>
      <c r="F16" s="1"/>
    </row>
    <row r="17" spans="4:6" x14ac:dyDescent="0.3">
      <c r="D17" s="1"/>
      <c r="E17" s="1"/>
      <c r="F17" s="1"/>
    </row>
    <row r="18" spans="4:6" x14ac:dyDescent="0.3">
      <c r="D18" s="1"/>
      <c r="E18" s="1"/>
      <c r="F18" s="1"/>
    </row>
    <row r="19" spans="4:6" x14ac:dyDescent="0.3">
      <c r="D19" s="1"/>
      <c r="E19" s="1"/>
      <c r="F19" s="1"/>
    </row>
    <row r="20" spans="4:6" x14ac:dyDescent="0.3">
      <c r="D20" s="1"/>
      <c r="E20" s="1"/>
      <c r="F20" s="1"/>
    </row>
    <row r="21" spans="4:6" x14ac:dyDescent="0.3">
      <c r="D21" s="1"/>
      <c r="E21" s="1"/>
      <c r="F21" s="1"/>
    </row>
    <row r="22" spans="4:6" x14ac:dyDescent="0.3">
      <c r="D22" s="1"/>
      <c r="E22" s="1"/>
      <c r="F22" s="1"/>
    </row>
    <row r="23" spans="4:6" x14ac:dyDescent="0.3">
      <c r="D23" s="1"/>
      <c r="E23" s="1"/>
      <c r="F23" s="1"/>
    </row>
    <row r="24" spans="4:6" x14ac:dyDescent="0.3">
      <c r="D24" s="1"/>
      <c r="E24" s="1"/>
      <c r="F24" s="1"/>
    </row>
    <row r="25" spans="4:6" x14ac:dyDescent="0.3">
      <c r="D25" s="1"/>
      <c r="E25" s="1"/>
      <c r="F25" s="1"/>
    </row>
    <row r="26" spans="4:6" x14ac:dyDescent="0.3">
      <c r="D26" s="1"/>
      <c r="E26" s="1"/>
      <c r="F26" s="1"/>
    </row>
    <row r="27" spans="4:6" x14ac:dyDescent="0.3">
      <c r="D27" s="1"/>
      <c r="E27" s="1"/>
      <c r="F27" s="1"/>
    </row>
    <row r="28" spans="4:6" x14ac:dyDescent="0.3">
      <c r="D28" s="1"/>
      <c r="E28" s="1"/>
      <c r="F28" s="1"/>
    </row>
    <row r="29" spans="4:6" x14ac:dyDescent="0.3">
      <c r="D29" s="1"/>
      <c r="E29" s="1"/>
      <c r="F29" s="1"/>
    </row>
    <row r="30" spans="4:6" x14ac:dyDescent="0.3">
      <c r="D30" s="1"/>
      <c r="E30" s="1"/>
      <c r="F30" s="1"/>
    </row>
    <row r="31" spans="4:6" x14ac:dyDescent="0.3">
      <c r="D31" s="1"/>
      <c r="E31" s="1"/>
      <c r="F31" s="1"/>
    </row>
    <row r="32" spans="4:6" x14ac:dyDescent="0.3">
      <c r="D32" s="1"/>
      <c r="E32" s="1"/>
      <c r="F32" s="1"/>
    </row>
    <row r="33" spans="4:6" x14ac:dyDescent="0.3">
      <c r="D33" s="1"/>
      <c r="E33" s="1"/>
      <c r="F33" s="1"/>
    </row>
    <row r="34" spans="4:6" x14ac:dyDescent="0.3">
      <c r="D34" s="1"/>
      <c r="E34" s="1"/>
      <c r="F34" s="1"/>
    </row>
    <row r="35" spans="4:6" x14ac:dyDescent="0.3">
      <c r="D35" s="1"/>
      <c r="E35" s="1"/>
      <c r="F35" s="1"/>
    </row>
    <row r="36" spans="4:6" x14ac:dyDescent="0.3">
      <c r="D36" s="1"/>
      <c r="E36" s="1"/>
      <c r="F36" s="1"/>
    </row>
    <row r="37" spans="4:6" x14ac:dyDescent="0.3">
      <c r="D37" s="1"/>
      <c r="E37" s="1"/>
      <c r="F37" s="1"/>
    </row>
    <row r="38" spans="4:6" x14ac:dyDescent="0.3">
      <c r="D38" s="1"/>
      <c r="E38" s="1"/>
      <c r="F38" s="1"/>
    </row>
    <row r="39" spans="4:6" x14ac:dyDescent="0.3">
      <c r="D39" s="1"/>
      <c r="E39" s="1"/>
      <c r="F39" s="1"/>
    </row>
    <row r="40" spans="4:6" x14ac:dyDescent="0.3">
      <c r="D40" s="1"/>
      <c r="E40" s="1"/>
      <c r="F40" s="1"/>
    </row>
    <row r="41" spans="4:6" x14ac:dyDescent="0.3">
      <c r="D41" s="1"/>
      <c r="E41" s="1"/>
      <c r="F41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Barriga</dc:creator>
  <cp:lastModifiedBy>Seg-Prov</cp:lastModifiedBy>
  <dcterms:created xsi:type="dcterms:W3CDTF">2025-12-11T13:37:55Z</dcterms:created>
  <dcterms:modified xsi:type="dcterms:W3CDTF">2025-12-12T14:10:26Z</dcterms:modified>
</cp:coreProperties>
</file>