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lepvaldivia-my.sharepoint.com/personal/nataly_morales_slepvaldivia_gob_cl/Documents/Escritorio/SLEP/2026/CONVENIO MARCO/S.C. 894-906-1032-1233-1264-1334 MOBILIARIO/"/>
    </mc:Choice>
  </mc:AlternateContent>
  <xr:revisionPtr revIDLastSave="204" documentId="8_{4E52EC91-6C65-4A4A-9788-88E5BACDD2F3}" xr6:coauthVersionLast="47" xr6:coauthVersionMax="47" xr10:uidLastSave="{3127CB25-6222-4A37-A3F5-FEB2FD9C75EA}"/>
  <bookViews>
    <workbookView xWindow="28680" yWindow="-120" windowWidth="29040" windowHeight="15720" xr2:uid="{A074A581-B5D6-48E8-8883-57E7FB86A31B}"/>
  </bookViews>
  <sheets>
    <sheet name="Hoja1" sheetId="1" r:id="rId1"/>
    <sheet name="Hoja2" sheetId="2" r:id="rId2"/>
    <sheet name="Hoja3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4" i="1" l="1"/>
  <c r="O19" i="1"/>
  <c r="O24" i="1"/>
  <c r="O29" i="1"/>
  <c r="L24" i="1"/>
  <c r="L29" i="1"/>
  <c r="L14" i="1"/>
  <c r="L19" i="1"/>
  <c r="I24" i="1"/>
  <c r="I29" i="1"/>
  <c r="I14" i="1"/>
  <c r="I19" i="1"/>
  <c r="I9" i="1"/>
  <c r="H29" i="1"/>
  <c r="H24" i="1"/>
  <c r="H19" i="1"/>
  <c r="H14" i="1"/>
  <c r="H9" i="1"/>
  <c r="K29" i="1"/>
  <c r="K14" i="1"/>
  <c r="K24" i="1"/>
  <c r="K19" i="1"/>
  <c r="K9" i="1"/>
  <c r="F27" i="1"/>
  <c r="F26" i="1"/>
  <c r="F25" i="1"/>
  <c r="F24" i="1"/>
  <c r="F32" i="1"/>
  <c r="F31" i="1"/>
  <c r="G29" i="1" s="1"/>
  <c r="F30" i="1"/>
  <c r="F29" i="1"/>
  <c r="F22" i="1"/>
  <c r="F21" i="1"/>
  <c r="F20" i="1"/>
  <c r="F19" i="1"/>
  <c r="F15" i="1"/>
  <c r="F17" i="1"/>
  <c r="F16" i="1"/>
  <c r="F14" i="1"/>
  <c r="O9" i="1"/>
  <c r="G19" i="1" l="1"/>
  <c r="G24" i="1"/>
  <c r="G14" i="1"/>
  <c r="G9" i="1"/>
  <c r="L9" i="1"/>
  <c r="P29" i="1" l="1"/>
  <c r="H65" i="3"/>
  <c r="H66" i="3" s="1"/>
  <c r="F34" i="3"/>
  <c r="F33" i="3"/>
  <c r="D33" i="3"/>
  <c r="D34" i="3" s="1"/>
  <c r="H21" i="2"/>
  <c r="H17" i="2"/>
  <c r="H13" i="2"/>
  <c r="H9" i="2"/>
  <c r="H5" i="2"/>
  <c r="P9" i="1" l="1"/>
  <c r="P19" i="1"/>
  <c r="P14" i="1"/>
  <c r="P24" i="1"/>
  <c r="E42" i="3"/>
  <c r="E49" i="3" s="1"/>
  <c r="H29" i="2"/>
  <c r="H28" i="2"/>
  <c r="H27" i="2"/>
  <c r="I27" i="2" s="1"/>
  <c r="I21" i="2"/>
  <c r="I17" i="2"/>
  <c r="I13" i="2"/>
  <c r="I9" i="2"/>
  <c r="E26" i="2"/>
  <c r="I5" i="2"/>
  <c r="E5" i="2"/>
  <c r="F5" i="2" s="1"/>
  <c r="J5" i="2" l="1"/>
  <c r="E27" i="2"/>
  <c r="E21" i="2"/>
  <c r="F21" i="2" s="1"/>
  <c r="J21" i="2" s="1"/>
  <c r="E13" i="2"/>
  <c r="F13" i="2" s="1"/>
  <c r="J13" i="2" s="1"/>
  <c r="E17" i="2"/>
  <c r="F17" i="2" s="1"/>
  <c r="J17" i="2" s="1"/>
  <c r="E9" i="2"/>
  <c r="F9" i="2" s="1"/>
  <c r="J9" i="2" s="1"/>
  <c r="E28" i="2"/>
  <c r="F28" i="2" s="1"/>
  <c r="J28" i="2" s="1"/>
  <c r="E29" i="2"/>
  <c r="E25" i="2"/>
  <c r="F25" i="2" l="1"/>
  <c r="J25" i="2" s="1"/>
  <c r="F29" i="2"/>
  <c r="J29" i="2" s="1"/>
  <c r="F27" i="2"/>
  <c r="J27" i="2" s="1"/>
  <c r="F26" i="2"/>
  <c r="J26" i="2" s="1"/>
</calcChain>
</file>

<file path=xl/sharedStrings.xml><?xml version="1.0" encoding="utf-8"?>
<sst xmlns="http://schemas.openxmlformats.org/spreadsheetml/2006/main" count="81" uniqueCount="43">
  <si>
    <t>Proveedor</t>
  </si>
  <si>
    <t>Precio</t>
  </si>
  <si>
    <t>Puntaje</t>
  </si>
  <si>
    <t>Puntaje ponderado</t>
  </si>
  <si>
    <t>Puntaje total</t>
  </si>
  <si>
    <t>Observaciones</t>
  </si>
  <si>
    <t>Plazo de Entrega</t>
  </si>
  <si>
    <t xml:space="preserve">ADJUDICADO </t>
  </si>
  <si>
    <t>COMERCIAL Y DISTRIBUIDORA CENTELLA LIMITADA</t>
  </si>
  <si>
    <t>INGENIERIA KALVILU SPA</t>
  </si>
  <si>
    <t>COMERCIALIZADORA ABASTEC SPA</t>
  </si>
  <si>
    <t>1432083-58-COT25,PG-02, SC.177 , 36143 JARDÍN INFANTIL MAGIA DE LOS RÍOS, UTILES DE ASEO.</t>
  </si>
  <si>
    <t>EMMANUEL NICOTRA VENTAS, SERVICIOS Y TRANSPORTES E.I.R.L.</t>
  </si>
  <si>
    <t>COMECIALIZADORA DUQUE FONSECA SPA</t>
  </si>
  <si>
    <t>MANGOSHOP SPA</t>
  </si>
  <si>
    <t>Fuera de Presupuesto</t>
  </si>
  <si>
    <t>NO ADJUNTA COTIZACIÓN, NO LLENA ANEXOS ADJUNTOS.</t>
  </si>
  <si>
    <t>Lineas</t>
  </si>
  <si>
    <t>Subtotal</t>
  </si>
  <si>
    <t>N°</t>
  </si>
  <si>
    <t xml:space="preserve">TABLA EVALUADORA DE OFERTAS </t>
  </si>
  <si>
    <t xml:space="preserve">GARANTIA POST VENTA </t>
  </si>
  <si>
    <t xml:space="preserve">adisional 20% de presupuesto </t>
  </si>
  <si>
    <t>NM, RBD 6751 22540 36135, SC, 758 891 745 746, FAEP, ADQ MOBILIARIO ESCOLAR, 2204999., ID 5802381-2617UYCZ</t>
  </si>
  <si>
    <t xml:space="preserve">PLAZO DE ENTREGA </t>
  </si>
  <si>
    <t>PRECIO</t>
  </si>
  <si>
    <t xml:space="preserve">24 MESES </t>
  </si>
  <si>
    <t xml:space="preserve">36 MESES </t>
  </si>
  <si>
    <t>Establecimiento</t>
  </si>
  <si>
    <t>Línea 1 - RBD 6770 S.C. 894 – COLEGIO DE MUSICA – FAEP - $3.427.851</t>
  </si>
  <si>
    <t>Línea 2 RBD 6766 S.C. 1032 – COLEGIO TENIENTE MERINO – FAEP - $5.621.148</t>
  </si>
  <si>
    <t>Línea 3 RBD 6774 S.C. 1334 – ESCUELA EL LAUREL– FAEP - $1.693.560</t>
  </si>
  <si>
    <t>Línea 4 RBD 6787 S.C. 1264 – CEIA LUIS MOLL BRIONES – FAEP - $3.555.252</t>
  </si>
  <si>
    <t>Línea 5 RBD 6759 S.C. 1233 – ESCUELA CHILE VALDIVIA – FAEP - $1.008.000</t>
  </si>
  <si>
    <t>MELMAN SPA 96.882.140-7</t>
  </si>
  <si>
    <t xml:space="preserve"> LOYDA EUGENIA HENRIQUEZ ORELLANA                 11.216.890-7</t>
  </si>
  <si>
    <t>COMERCIAL E INDUSTRIAL MUEBLES ASENJO LIMITADA     77.018.060-0</t>
  </si>
  <si>
    <t>EVENTAIL SPA      76.710.414-6</t>
  </si>
  <si>
    <t>ENILDA TERESA FIGUEROA MELLADO         6.189.318-0</t>
  </si>
  <si>
    <t>12 MESES</t>
  </si>
  <si>
    <t>ADJUDICADO</t>
  </si>
  <si>
    <t>2DA MEJOR OFERTA</t>
  </si>
  <si>
    <t>MESAS CASINO NO CUMPLEN CON LO SOLICITADO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</si>
</sst>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;[Red]&quot;$&quot;\-#,##0"/>
    <numFmt numFmtId="42" formatCode="_ &quot;$&quot;* #,##0_ ;_ &quot;$&quot;* \-#,##0_ ;_ &quot;$&quot;* &quot;-&quot;_ ;_ @_ "/>
    <numFmt numFmtId="164" formatCode="_-* #,##0.00\ _€_-;\-* #,##0.00\ _€_-;_-* &quot;-&quot;??\ _€_-;_-@_-"/>
  </numFmts>
  <fonts count="11" x14ac:knownFonts="1">
    <font>
      <sz val="11"/>
      <color theme="1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theme="1"/>
      <name val="Aptos"/>
      <family val="2"/>
    </font>
    <font>
      <b/>
      <u/>
      <sz val="20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000000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2" fontId="4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102">
    <xf numFmtId="0" fontId="0" fillId="0" borderId="0" xfId="0"/>
    <xf numFmtId="9" fontId="1" fillId="0" borderId="2" xfId="0" applyNumberFormat="1" applyFont="1" applyBorder="1"/>
    <xf numFmtId="0" fontId="2" fillId="0" borderId="0" xfId="0" applyFont="1"/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/>
    <xf numFmtId="0" fontId="3" fillId="0" borderId="2" xfId="0" applyFont="1" applyBorder="1"/>
    <xf numFmtId="6" fontId="3" fillId="0" borderId="2" xfId="0" applyNumberFormat="1" applyFont="1" applyBorder="1"/>
    <xf numFmtId="0" fontId="3" fillId="0" borderId="2" xfId="0" applyFont="1" applyBorder="1" applyAlignment="1">
      <alignment wrapText="1"/>
    </xf>
    <xf numFmtId="2" fontId="0" fillId="0" borderId="0" xfId="0" applyNumberFormat="1"/>
    <xf numFmtId="2" fontId="1" fillId="0" borderId="0" xfId="0" applyNumberFormat="1" applyFont="1"/>
    <xf numFmtId="2" fontId="1" fillId="0" borderId="2" xfId="0" applyNumberFormat="1" applyFont="1" applyBorder="1" applyAlignment="1">
      <alignment horizontal="center" vertical="center" wrapText="1"/>
    </xf>
    <xf numFmtId="2" fontId="3" fillId="0" borderId="2" xfId="0" applyNumberFormat="1" applyFont="1" applyBorder="1"/>
    <xf numFmtId="2" fontId="1" fillId="2" borderId="2" xfId="0" applyNumberFormat="1" applyFont="1" applyFill="1" applyBorder="1" applyAlignment="1">
      <alignment horizontal="center" vertical="center" wrapText="1"/>
    </xf>
    <xf numFmtId="2" fontId="3" fillId="2" borderId="2" xfId="0" applyNumberFormat="1" applyFont="1" applyFill="1" applyBorder="1"/>
    <xf numFmtId="2" fontId="3" fillId="0" borderId="2" xfId="0" applyNumberFormat="1" applyFont="1" applyBorder="1" applyAlignment="1">
      <alignment horizontal="right"/>
    </xf>
    <xf numFmtId="42" fontId="0" fillId="0" borderId="0" xfId="1" applyFont="1"/>
    <xf numFmtId="0" fontId="0" fillId="0" borderId="2" xfId="0" applyBorder="1" applyAlignment="1">
      <alignment wrapText="1"/>
    </xf>
    <xf numFmtId="0" fontId="3" fillId="0" borderId="0" xfId="0" applyFont="1" applyAlignment="1">
      <alignment wrapText="1"/>
    </xf>
    <xf numFmtId="42" fontId="1" fillId="0" borderId="3" xfId="1" applyFont="1" applyBorder="1"/>
    <xf numFmtId="42" fontId="1" fillId="0" borderId="2" xfId="1" applyFont="1" applyBorder="1" applyAlignment="1">
      <alignment horizontal="center" vertical="center" wrapText="1"/>
    </xf>
    <xf numFmtId="42" fontId="0" fillId="0" borderId="2" xfId="1" applyFont="1" applyBorder="1" applyAlignment="1">
      <alignment wrapText="1"/>
    </xf>
    <xf numFmtId="0" fontId="7" fillId="0" borderId="0" xfId="0" applyFont="1"/>
    <xf numFmtId="42" fontId="7" fillId="0" borderId="0" xfId="1" applyFont="1"/>
    <xf numFmtId="42" fontId="0" fillId="0" borderId="0" xfId="0" applyNumberFormat="1"/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 wrapText="1"/>
    </xf>
    <xf numFmtId="42" fontId="1" fillId="0" borderId="6" xfId="1" applyFont="1" applyBorder="1" applyAlignment="1">
      <alignment horizontal="center" vertical="center" wrapText="1"/>
    </xf>
    <xf numFmtId="2" fontId="1" fillId="3" borderId="2" xfId="0" applyNumberFormat="1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2" fontId="1" fillId="4" borderId="2" xfId="0" applyNumberFormat="1" applyFont="1" applyFill="1" applyBorder="1" applyAlignment="1">
      <alignment horizontal="center" vertical="center" wrapText="1"/>
    </xf>
    <xf numFmtId="42" fontId="1" fillId="5" borderId="6" xfId="1" applyFont="1" applyFill="1" applyBorder="1" applyAlignment="1">
      <alignment horizontal="center" vertical="center" wrapText="1"/>
    </xf>
    <xf numFmtId="42" fontId="1" fillId="5" borderId="2" xfId="1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9" fontId="1" fillId="4" borderId="2" xfId="0" applyNumberFormat="1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2" fontId="1" fillId="4" borderId="2" xfId="0" applyNumberFormat="1" applyFont="1" applyFill="1" applyBorder="1" applyAlignment="1">
      <alignment horizontal="center"/>
    </xf>
    <xf numFmtId="42" fontId="1" fillId="4" borderId="4" xfId="1" applyFont="1" applyFill="1" applyBorder="1" applyAlignment="1">
      <alignment horizontal="center" vertical="center" wrapText="1"/>
    </xf>
    <xf numFmtId="42" fontId="1" fillId="4" borderId="6" xfId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42" fontId="1" fillId="0" borderId="4" xfId="0" applyNumberFormat="1" applyFont="1" applyBorder="1" applyAlignment="1">
      <alignment horizontal="center" vertical="center" wrapText="1"/>
    </xf>
    <xf numFmtId="42" fontId="1" fillId="0" borderId="5" xfId="0" applyNumberFormat="1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 vertical="center"/>
    </xf>
    <xf numFmtId="2" fontId="3" fillId="0" borderId="5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2" fontId="3" fillId="3" borderId="4" xfId="0" applyNumberFormat="1" applyFont="1" applyFill="1" applyBorder="1" applyAlignment="1">
      <alignment horizontal="center" vertical="center"/>
    </xf>
    <xf numFmtId="2" fontId="3" fillId="3" borderId="5" xfId="0" applyNumberFormat="1" applyFont="1" applyFill="1" applyBorder="1" applyAlignment="1">
      <alignment horizontal="center" vertical="center"/>
    </xf>
    <xf numFmtId="2" fontId="6" fillId="0" borderId="4" xfId="0" applyNumberFormat="1" applyFont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42" fontId="1" fillId="0" borderId="6" xfId="0" applyNumberFormat="1" applyFont="1" applyBorder="1" applyAlignment="1">
      <alignment horizontal="center" vertical="center" wrapText="1"/>
    </xf>
    <xf numFmtId="2" fontId="3" fillId="0" borderId="6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wrapText="1"/>
    </xf>
    <xf numFmtId="0" fontId="1" fillId="0" borderId="1" xfId="0" applyFont="1" applyBorder="1"/>
    <xf numFmtId="0" fontId="1" fillId="0" borderId="3" xfId="0" applyFont="1" applyBorder="1"/>
    <xf numFmtId="2" fontId="3" fillId="0" borderId="4" xfId="0" applyNumberFormat="1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2" fontId="3" fillId="0" borderId="6" xfId="0" applyNumberFormat="1" applyFont="1" applyBorder="1" applyAlignment="1">
      <alignment horizontal="center"/>
    </xf>
    <xf numFmtId="2" fontId="3" fillId="2" borderId="4" xfId="0" applyNumberFormat="1" applyFont="1" applyFill="1" applyBorder="1" applyAlignment="1">
      <alignment horizontal="center"/>
    </xf>
    <xf numFmtId="2" fontId="3" fillId="2" borderId="5" xfId="0" applyNumberFormat="1" applyFont="1" applyFill="1" applyBorder="1" applyAlignment="1">
      <alignment horizontal="center"/>
    </xf>
    <xf numFmtId="2" fontId="3" fillId="2" borderId="6" xfId="0" applyNumberFormat="1" applyFont="1" applyFill="1" applyBorder="1" applyAlignment="1">
      <alignment horizontal="center"/>
    </xf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42" fontId="1" fillId="0" borderId="4" xfId="1" applyFont="1" applyBorder="1" applyAlignment="1">
      <alignment horizontal="center" vertical="center" wrapText="1"/>
    </xf>
    <xf numFmtId="42" fontId="1" fillId="0" borderId="5" xfId="1" applyFont="1" applyBorder="1" applyAlignment="1">
      <alignment horizontal="center" vertical="center" wrapText="1"/>
    </xf>
    <xf numFmtId="42" fontId="1" fillId="0" borderId="6" xfId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42" fontId="6" fillId="0" borderId="4" xfId="0" applyNumberFormat="1" applyFont="1" applyBorder="1" applyAlignment="1">
      <alignment horizontal="center"/>
    </xf>
    <xf numFmtId="42" fontId="6" fillId="0" borderId="5" xfId="0" applyNumberFormat="1" applyFont="1" applyBorder="1" applyAlignment="1">
      <alignment horizontal="center"/>
    </xf>
    <xf numFmtId="42" fontId="6" fillId="0" borderId="6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6" fillId="0" borderId="4" xfId="0" applyFont="1" applyBorder="1" applyAlignment="1">
      <alignment horizontal="center" wrapText="1"/>
    </xf>
    <xf numFmtId="0" fontId="6" fillId="0" borderId="5" xfId="0" applyFont="1" applyBorder="1" applyAlignment="1">
      <alignment horizontal="center" wrapText="1"/>
    </xf>
    <xf numFmtId="0" fontId="6" fillId="0" borderId="6" xfId="0" applyFont="1" applyBorder="1" applyAlignment="1">
      <alignment horizontal="center" wrapText="1"/>
    </xf>
    <xf numFmtId="0" fontId="7" fillId="0" borderId="4" xfId="0" applyFont="1" applyBorder="1" applyAlignment="1">
      <alignment horizontal="center" wrapText="1"/>
    </xf>
    <xf numFmtId="0" fontId="7" fillId="0" borderId="5" xfId="0" applyFont="1" applyBorder="1" applyAlignment="1">
      <alignment horizontal="center" wrapText="1"/>
    </xf>
    <xf numFmtId="0" fontId="7" fillId="0" borderId="6" xfId="0" applyFont="1" applyBorder="1" applyAlignment="1">
      <alignment horizontal="center" wrapText="1"/>
    </xf>
    <xf numFmtId="42" fontId="7" fillId="0" borderId="4" xfId="1" applyFont="1" applyBorder="1" applyAlignment="1">
      <alignment horizontal="center" wrapText="1"/>
    </xf>
    <xf numFmtId="42" fontId="7" fillId="0" borderId="5" xfId="1" applyFont="1" applyBorder="1" applyAlignment="1">
      <alignment horizontal="center" wrapText="1"/>
    </xf>
    <xf numFmtId="42" fontId="7" fillId="0" borderId="6" xfId="1" applyFont="1" applyBorder="1" applyAlignment="1">
      <alignment horizontal="center" wrapText="1"/>
    </xf>
    <xf numFmtId="42" fontId="6" fillId="0" borderId="4" xfId="1" applyFont="1" applyBorder="1" applyAlignment="1">
      <alignment horizontal="center"/>
    </xf>
    <xf numFmtId="42" fontId="6" fillId="0" borderId="5" xfId="1" applyFont="1" applyBorder="1" applyAlignment="1">
      <alignment horizontal="center"/>
    </xf>
    <xf numFmtId="42" fontId="6" fillId="0" borderId="6" xfId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6" fillId="0" borderId="5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42" fontId="8" fillId="0" borderId="4" xfId="1" applyFont="1" applyBorder="1" applyAlignment="1">
      <alignment horizontal="center"/>
    </xf>
    <xf numFmtId="42" fontId="8" fillId="0" borderId="5" xfId="1" applyFont="1" applyBorder="1" applyAlignment="1">
      <alignment horizontal="center"/>
    </xf>
    <xf numFmtId="42" fontId="8" fillId="0" borderId="6" xfId="1" applyFont="1" applyBorder="1" applyAlignment="1">
      <alignment horizontal="center"/>
    </xf>
    <xf numFmtId="2" fontId="10" fillId="0" borderId="4" xfId="0" applyNumberFormat="1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2" fontId="10" fillId="0" borderId="5" xfId="0" applyNumberFormat="1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</cellXfs>
  <cellStyles count="3">
    <cellStyle name="Millares 2" xfId="2" xr:uid="{D280CEB8-A808-4FF0-9DF3-B93C28DA3959}"/>
    <cellStyle name="Moneda [0]" xfId="1" builtinId="7"/>
    <cellStyle name="Normal" xfId="0" builtinId="0"/>
  </cellStyles>
  <dxfs count="0"/>
  <tableStyles count="0" defaultTableStyle="TableStyleMedium2" defaultPivotStyle="PivotStyleLight16"/>
  <colors>
    <mruColors>
      <color rgb="FFEC903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0</xdr:row>
      <xdr:rowOff>76200</xdr:rowOff>
    </xdr:from>
    <xdr:to>
      <xdr:col>3</xdr:col>
      <xdr:colOff>828675</xdr:colOff>
      <xdr:row>5</xdr:row>
      <xdr:rowOff>85725</xdr:rowOff>
    </xdr:to>
    <xdr:pic>
      <xdr:nvPicPr>
        <xdr:cNvPr id="2" name="Imagen 1" descr="Logotipo, nombre de la empresa&#10;&#10;Descripción generada automáticamente">
          <a:extLst>
            <a:ext uri="{FF2B5EF4-FFF2-40B4-BE49-F238E27FC236}">
              <a16:creationId xmlns:a16="http://schemas.microsoft.com/office/drawing/2014/main" id="{DF8266E6-6EA1-A0FD-0252-E64BE7A82F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5" y="76200"/>
          <a:ext cx="2257425" cy="1190625"/>
        </a:xfrm>
        <a:prstGeom prst="rect">
          <a:avLst/>
        </a:prstGeom>
      </xdr:spPr>
    </xdr:pic>
    <xdr:clientData/>
  </xdr:twoCellAnchor>
  <xdr:twoCellAnchor editAs="oneCell">
    <xdr:from>
      <xdr:col>15</xdr:col>
      <xdr:colOff>76200</xdr:colOff>
      <xdr:row>0</xdr:row>
      <xdr:rowOff>104775</xdr:rowOff>
    </xdr:from>
    <xdr:to>
      <xdr:col>16</xdr:col>
      <xdr:colOff>1457325</xdr:colOff>
      <xdr:row>4</xdr:row>
      <xdr:rowOff>403225</xdr:rowOff>
    </xdr:to>
    <xdr:pic>
      <xdr:nvPicPr>
        <xdr:cNvPr id="3" name="Imagen 2" descr="Texto&#10;&#10;Descripción generada automáticamente">
          <a:extLst>
            <a:ext uri="{FF2B5EF4-FFF2-40B4-BE49-F238E27FC236}">
              <a16:creationId xmlns:a16="http://schemas.microsoft.com/office/drawing/2014/main" id="{4300A6E0-B88A-8353-0821-3E8C07F66A4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7462"/>
        <a:stretch>
          <a:fillRect/>
        </a:stretch>
      </xdr:blipFill>
      <xdr:spPr>
        <a:xfrm>
          <a:off x="8648700" y="104775"/>
          <a:ext cx="1971675" cy="10699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55DE33-A7DE-4AC4-8DFE-439A42F89644}">
  <sheetPr>
    <pageSetUpPr fitToPage="1"/>
  </sheetPr>
  <dimension ref="A1:S33"/>
  <sheetViews>
    <sheetView tabSelected="1" topLeftCell="A6" workbookViewId="0">
      <selection activeCell="T16" sqref="T16"/>
    </sheetView>
  </sheetViews>
  <sheetFormatPr baseColWidth="10" defaultRowHeight="15" x14ac:dyDescent="0.25"/>
  <cols>
    <col min="1" max="1" width="3.42578125" customWidth="1"/>
    <col min="2" max="2" width="21.28515625" customWidth="1"/>
    <col min="3" max="3" width="21.28515625" hidden="1" customWidth="1"/>
    <col min="4" max="4" width="36.42578125" customWidth="1"/>
    <col min="5" max="5" width="21.28515625" hidden="1" customWidth="1"/>
    <col min="6" max="6" width="13.5703125" style="15" customWidth="1"/>
    <col min="7" max="7" width="15.5703125" customWidth="1"/>
    <col min="8" max="8" width="10.7109375" style="8" customWidth="1"/>
    <col min="9" max="9" width="9.140625" style="8" customWidth="1"/>
    <col min="10" max="10" width="11.5703125" customWidth="1"/>
    <col min="11" max="11" width="9.5703125" style="8" customWidth="1"/>
    <col min="12" max="15" width="12.42578125" style="8" customWidth="1"/>
    <col min="16" max="16" width="8.85546875" style="8" customWidth="1"/>
    <col min="17" max="17" width="25" customWidth="1"/>
  </cols>
  <sheetData>
    <row r="1" spans="1:19" ht="20.25" customHeight="1" x14ac:dyDescent="0.4">
      <c r="A1" s="35" t="s">
        <v>20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</row>
    <row r="2" spans="1:19" ht="20.25" hidden="1" customHeight="1" x14ac:dyDescent="0.25"/>
    <row r="3" spans="1:19" ht="20.25" customHeight="1" x14ac:dyDescent="0.25"/>
    <row r="4" spans="1:19" ht="20.25" customHeight="1" x14ac:dyDescent="0.25"/>
    <row r="5" spans="1:19" ht="32.25" customHeight="1" x14ac:dyDescent="0.25">
      <c r="B5" s="39" t="s">
        <v>23</v>
      </c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</row>
    <row r="6" spans="1:19" ht="22.5" customHeight="1" x14ac:dyDescent="0.25"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</row>
    <row r="7" spans="1:19" x14ac:dyDescent="0.25">
      <c r="A7" s="32" t="s">
        <v>19</v>
      </c>
      <c r="B7" s="40" t="s">
        <v>0</v>
      </c>
      <c r="C7" s="40" t="s">
        <v>17</v>
      </c>
      <c r="D7" s="40" t="s">
        <v>28</v>
      </c>
      <c r="E7" s="40" t="s">
        <v>22</v>
      </c>
      <c r="F7" s="37" t="s">
        <v>18</v>
      </c>
      <c r="G7" s="34">
        <v>0.5</v>
      </c>
      <c r="H7" s="34"/>
      <c r="I7" s="34"/>
      <c r="J7" s="34">
        <v>0.3</v>
      </c>
      <c r="K7" s="34"/>
      <c r="L7" s="34"/>
      <c r="M7" s="34">
        <v>0.2</v>
      </c>
      <c r="N7" s="34"/>
      <c r="O7" s="34"/>
      <c r="P7" s="36"/>
      <c r="Q7" s="36"/>
    </row>
    <row r="8" spans="1:19" ht="43.5" customHeight="1" x14ac:dyDescent="0.25">
      <c r="A8" s="33"/>
      <c r="B8" s="41"/>
      <c r="C8" s="41"/>
      <c r="D8" s="41"/>
      <c r="E8" s="41"/>
      <c r="F8" s="38"/>
      <c r="G8" s="28" t="s">
        <v>25</v>
      </c>
      <c r="H8" s="29" t="s">
        <v>2</v>
      </c>
      <c r="I8" s="27" t="s">
        <v>3</v>
      </c>
      <c r="J8" s="28" t="s">
        <v>24</v>
      </c>
      <c r="K8" s="29" t="s">
        <v>2</v>
      </c>
      <c r="L8" s="27" t="s">
        <v>3</v>
      </c>
      <c r="M8" s="28" t="s">
        <v>21</v>
      </c>
      <c r="N8" s="29" t="s">
        <v>2</v>
      </c>
      <c r="O8" s="27" t="s">
        <v>3</v>
      </c>
      <c r="P8" s="29" t="s">
        <v>4</v>
      </c>
      <c r="Q8" s="28" t="s">
        <v>5</v>
      </c>
      <c r="S8" s="15"/>
    </row>
    <row r="9" spans="1:19" ht="29.25" customHeight="1" x14ac:dyDescent="0.25">
      <c r="A9" s="46">
        <v>1</v>
      </c>
      <c r="B9" s="46" t="s">
        <v>34</v>
      </c>
      <c r="C9" s="24"/>
      <c r="D9" s="25" t="s">
        <v>29</v>
      </c>
      <c r="E9" s="26">
        <v>1272000</v>
      </c>
      <c r="F9" s="30">
        <v>2388113</v>
      </c>
      <c r="G9" s="42">
        <f>SUM(F9:F13)</f>
        <v>12105283</v>
      </c>
      <c r="H9" s="44">
        <f>$G$9*100/G9</f>
        <v>100</v>
      </c>
      <c r="I9" s="48">
        <f>(H9)*50%</f>
        <v>50</v>
      </c>
      <c r="J9" s="46">
        <v>7</v>
      </c>
      <c r="K9" s="44">
        <f>J9/J9*100</f>
        <v>100</v>
      </c>
      <c r="L9" s="48">
        <f>K9*30%</f>
        <v>30</v>
      </c>
      <c r="M9" s="46" t="s">
        <v>27</v>
      </c>
      <c r="N9" s="44">
        <v>100</v>
      </c>
      <c r="O9" s="48">
        <f>N9*20%</f>
        <v>20</v>
      </c>
      <c r="P9" s="50">
        <f>I9+L9+O9</f>
        <v>100</v>
      </c>
      <c r="Q9" s="46" t="s">
        <v>40</v>
      </c>
      <c r="S9" s="15"/>
    </row>
    <row r="10" spans="1:19" ht="29.25" customHeight="1" x14ac:dyDescent="0.25">
      <c r="A10" s="47"/>
      <c r="B10" s="47"/>
      <c r="C10" s="24"/>
      <c r="D10" s="25" t="s">
        <v>30</v>
      </c>
      <c r="E10" s="26"/>
      <c r="F10" s="30">
        <v>5097862</v>
      </c>
      <c r="G10" s="43"/>
      <c r="H10" s="45"/>
      <c r="I10" s="49"/>
      <c r="J10" s="47"/>
      <c r="K10" s="45"/>
      <c r="L10" s="49"/>
      <c r="M10" s="47"/>
      <c r="N10" s="45"/>
      <c r="O10" s="49"/>
      <c r="P10" s="51"/>
      <c r="Q10" s="47"/>
      <c r="S10" s="15"/>
    </row>
    <row r="11" spans="1:19" ht="29.25" customHeight="1" x14ac:dyDescent="0.25">
      <c r="A11" s="47"/>
      <c r="B11" s="47"/>
      <c r="C11" s="24"/>
      <c r="D11" s="25" t="s">
        <v>31</v>
      </c>
      <c r="E11" s="26"/>
      <c r="F11" s="30">
        <v>1430555</v>
      </c>
      <c r="G11" s="43"/>
      <c r="H11" s="45"/>
      <c r="I11" s="49"/>
      <c r="J11" s="47"/>
      <c r="K11" s="45"/>
      <c r="L11" s="49"/>
      <c r="M11" s="47"/>
      <c r="N11" s="45"/>
      <c r="O11" s="49"/>
      <c r="P11" s="51"/>
      <c r="Q11" s="47"/>
      <c r="S11" s="15"/>
    </row>
    <row r="12" spans="1:19" ht="29.25" customHeight="1" x14ac:dyDescent="0.25">
      <c r="A12" s="47"/>
      <c r="B12" s="47"/>
      <c r="C12" s="24"/>
      <c r="D12" s="25" t="s">
        <v>32</v>
      </c>
      <c r="E12" s="26"/>
      <c r="F12" s="30">
        <v>2579162</v>
      </c>
      <c r="G12" s="43"/>
      <c r="H12" s="45"/>
      <c r="I12" s="49"/>
      <c r="J12" s="47"/>
      <c r="K12" s="45"/>
      <c r="L12" s="49"/>
      <c r="M12" s="47"/>
      <c r="N12" s="45"/>
      <c r="O12" s="49"/>
      <c r="P12" s="51"/>
      <c r="Q12" s="47"/>
      <c r="S12" s="15"/>
    </row>
    <row r="13" spans="1:19" ht="29.25" customHeight="1" x14ac:dyDescent="0.25">
      <c r="A13" s="47"/>
      <c r="B13" s="47"/>
      <c r="C13" s="24"/>
      <c r="D13" s="25" t="s">
        <v>33</v>
      </c>
      <c r="E13" s="26">
        <v>72043</v>
      </c>
      <c r="F13" s="30">
        <v>609591</v>
      </c>
      <c r="G13" s="43"/>
      <c r="H13" s="45"/>
      <c r="I13" s="49"/>
      <c r="J13" s="47"/>
      <c r="K13" s="45"/>
      <c r="L13" s="49"/>
      <c r="M13" s="47"/>
      <c r="N13" s="45"/>
      <c r="O13" s="49"/>
      <c r="P13" s="51"/>
      <c r="Q13" s="47"/>
      <c r="S13" s="15"/>
    </row>
    <row r="14" spans="1:19" ht="29.25" customHeight="1" x14ac:dyDescent="0.25">
      <c r="A14" s="46">
        <v>2</v>
      </c>
      <c r="B14" s="46" t="s">
        <v>36</v>
      </c>
      <c r="C14" s="24"/>
      <c r="D14" s="25" t="s">
        <v>29</v>
      </c>
      <c r="E14" s="26">
        <v>1272000</v>
      </c>
      <c r="F14" s="30">
        <f>1416100+1466675</f>
        <v>2882775</v>
      </c>
      <c r="G14" s="42">
        <f>SUM(F14:F18)</f>
        <v>12904717</v>
      </c>
      <c r="H14" s="44">
        <f>$G$9*100/G14</f>
        <v>93.805102428825052</v>
      </c>
      <c r="I14" s="48">
        <f t="shared" ref="I14" si="0">(H14)*50%</f>
        <v>46.902551214412526</v>
      </c>
      <c r="J14" s="46">
        <v>25</v>
      </c>
      <c r="K14" s="44">
        <f>J9/J14*100</f>
        <v>28.000000000000004</v>
      </c>
      <c r="L14" s="48">
        <f t="shared" ref="L14" si="1">K14*30%</f>
        <v>8.4</v>
      </c>
      <c r="M14" s="46" t="s">
        <v>39</v>
      </c>
      <c r="N14" s="44">
        <v>60</v>
      </c>
      <c r="O14" s="48">
        <f t="shared" ref="O14" si="2">N14*20%</f>
        <v>12</v>
      </c>
      <c r="P14" s="98">
        <f>I14+L14+O14</f>
        <v>67.302551214412517</v>
      </c>
      <c r="Q14" s="99" t="s">
        <v>42</v>
      </c>
    </row>
    <row r="15" spans="1:19" ht="29.25" customHeight="1" x14ac:dyDescent="0.25">
      <c r="A15" s="47"/>
      <c r="B15" s="47"/>
      <c r="C15" s="24"/>
      <c r="D15" s="25" t="s">
        <v>30</v>
      </c>
      <c r="E15" s="26"/>
      <c r="F15" s="30">
        <f>3378410+1365525</f>
        <v>4743935</v>
      </c>
      <c r="G15" s="43"/>
      <c r="H15" s="45"/>
      <c r="I15" s="49"/>
      <c r="J15" s="47"/>
      <c r="K15" s="45"/>
      <c r="L15" s="49"/>
      <c r="M15" s="47"/>
      <c r="N15" s="45"/>
      <c r="O15" s="49"/>
      <c r="P15" s="100"/>
      <c r="Q15" s="101"/>
    </row>
    <row r="16" spans="1:19" ht="29.25" customHeight="1" x14ac:dyDescent="0.25">
      <c r="A16" s="47"/>
      <c r="B16" s="47"/>
      <c r="C16" s="24"/>
      <c r="D16" s="25" t="s">
        <v>31</v>
      </c>
      <c r="E16" s="26"/>
      <c r="F16" s="30">
        <f>748510+681751</f>
        <v>1430261</v>
      </c>
      <c r="G16" s="43"/>
      <c r="H16" s="45"/>
      <c r="I16" s="49"/>
      <c r="J16" s="47"/>
      <c r="K16" s="45"/>
      <c r="L16" s="49"/>
      <c r="M16" s="47"/>
      <c r="N16" s="45"/>
      <c r="O16" s="49"/>
      <c r="P16" s="100"/>
      <c r="Q16" s="101"/>
    </row>
    <row r="17" spans="1:17" ht="29.25" customHeight="1" x14ac:dyDescent="0.25">
      <c r="A17" s="47"/>
      <c r="B17" s="47"/>
      <c r="C17" s="24"/>
      <c r="D17" s="25" t="s">
        <v>32</v>
      </c>
      <c r="E17" s="26"/>
      <c r="F17" s="30">
        <f>1529388+1474767</f>
        <v>3004155</v>
      </c>
      <c r="G17" s="43"/>
      <c r="H17" s="45"/>
      <c r="I17" s="49"/>
      <c r="J17" s="47"/>
      <c r="K17" s="45"/>
      <c r="L17" s="49"/>
      <c r="M17" s="47"/>
      <c r="N17" s="45"/>
      <c r="O17" s="49"/>
      <c r="P17" s="100"/>
      <c r="Q17" s="101"/>
    </row>
    <row r="18" spans="1:17" ht="29.25" customHeight="1" x14ac:dyDescent="0.25">
      <c r="A18" s="47"/>
      <c r="B18" s="47"/>
      <c r="C18" s="24"/>
      <c r="D18" s="25" t="s">
        <v>33</v>
      </c>
      <c r="E18" s="26">
        <v>72043</v>
      </c>
      <c r="F18" s="30">
        <v>843591</v>
      </c>
      <c r="G18" s="43"/>
      <c r="H18" s="45"/>
      <c r="I18" s="49"/>
      <c r="J18" s="47"/>
      <c r="K18" s="45"/>
      <c r="L18" s="49"/>
      <c r="M18" s="47"/>
      <c r="N18" s="45"/>
      <c r="O18" s="49"/>
      <c r="P18" s="100"/>
      <c r="Q18" s="101"/>
    </row>
    <row r="19" spans="1:17" ht="29.25" customHeight="1" x14ac:dyDescent="0.25">
      <c r="A19" s="46">
        <v>3</v>
      </c>
      <c r="B19" s="46" t="s">
        <v>35</v>
      </c>
      <c r="C19" s="24"/>
      <c r="D19" s="25" t="s">
        <v>29</v>
      </c>
      <c r="E19" s="26">
        <v>1272000</v>
      </c>
      <c r="F19" s="30">
        <f>1194165+1451205</f>
        <v>2645370</v>
      </c>
      <c r="G19" s="42">
        <f>SUM(F19:F23)</f>
        <v>13335534</v>
      </c>
      <c r="H19" s="44">
        <f>$G$9*100/G19</f>
        <v>90.774640145643957</v>
      </c>
      <c r="I19" s="48">
        <f t="shared" ref="I19" si="3">(H19)*50%</f>
        <v>45.387320072821979</v>
      </c>
      <c r="J19" s="46">
        <v>7</v>
      </c>
      <c r="K19" s="44">
        <f>J19/J19*100</f>
        <v>100</v>
      </c>
      <c r="L19" s="48">
        <f t="shared" ref="L19" si="4">K19*30%</f>
        <v>30</v>
      </c>
      <c r="M19" s="46" t="s">
        <v>27</v>
      </c>
      <c r="N19" s="44">
        <v>100</v>
      </c>
      <c r="O19" s="48">
        <f t="shared" ref="O19" si="5">N19*20%</f>
        <v>20</v>
      </c>
      <c r="P19" s="50">
        <f>I19+L19+O19</f>
        <v>95.387320072821979</v>
      </c>
      <c r="Q19" s="46" t="s">
        <v>41</v>
      </c>
    </row>
    <row r="20" spans="1:17" ht="29.25" customHeight="1" x14ac:dyDescent="0.25">
      <c r="A20" s="47"/>
      <c r="B20" s="47"/>
      <c r="C20" s="24"/>
      <c r="D20" s="25" t="s">
        <v>30</v>
      </c>
      <c r="E20" s="26"/>
      <c r="F20" s="30">
        <f>3427200+1631833</f>
        <v>5059033</v>
      </c>
      <c r="G20" s="43"/>
      <c r="H20" s="45"/>
      <c r="I20" s="49"/>
      <c r="J20" s="47"/>
      <c r="K20" s="45"/>
      <c r="L20" s="49"/>
      <c r="M20" s="47"/>
      <c r="N20" s="45"/>
      <c r="O20" s="49"/>
      <c r="P20" s="51"/>
      <c r="Q20" s="47"/>
    </row>
    <row r="21" spans="1:17" ht="29.25" customHeight="1" x14ac:dyDescent="0.25">
      <c r="A21" s="47"/>
      <c r="B21" s="47"/>
      <c r="C21" s="24"/>
      <c r="D21" s="25" t="s">
        <v>31</v>
      </c>
      <c r="E21" s="26"/>
      <c r="F21" s="30">
        <f>765000+759204</f>
        <v>1524204</v>
      </c>
      <c r="G21" s="43"/>
      <c r="H21" s="45"/>
      <c r="I21" s="49"/>
      <c r="J21" s="47"/>
      <c r="K21" s="45"/>
      <c r="L21" s="49"/>
      <c r="M21" s="47"/>
      <c r="N21" s="45"/>
      <c r="O21" s="49"/>
      <c r="P21" s="51"/>
      <c r="Q21" s="47"/>
    </row>
    <row r="22" spans="1:17" ht="29.25" customHeight="1" x14ac:dyDescent="0.25">
      <c r="A22" s="47"/>
      <c r="B22" s="47"/>
      <c r="C22" s="24"/>
      <c r="D22" s="25" t="s">
        <v>32</v>
      </c>
      <c r="E22" s="26"/>
      <c r="F22" s="30">
        <f>1739880+1459847</f>
        <v>3199727</v>
      </c>
      <c r="G22" s="43"/>
      <c r="H22" s="45"/>
      <c r="I22" s="49"/>
      <c r="J22" s="47"/>
      <c r="K22" s="45"/>
      <c r="L22" s="49"/>
      <c r="M22" s="47"/>
      <c r="N22" s="45"/>
      <c r="O22" s="49"/>
      <c r="P22" s="51"/>
      <c r="Q22" s="47"/>
    </row>
    <row r="23" spans="1:17" ht="29.25" customHeight="1" x14ac:dyDescent="0.25">
      <c r="A23" s="47"/>
      <c r="B23" s="47"/>
      <c r="C23" s="24"/>
      <c r="D23" s="25" t="s">
        <v>33</v>
      </c>
      <c r="E23" s="26">
        <v>72043</v>
      </c>
      <c r="F23" s="30">
        <v>907200</v>
      </c>
      <c r="G23" s="43"/>
      <c r="H23" s="45"/>
      <c r="I23" s="49"/>
      <c r="J23" s="47"/>
      <c r="K23" s="45"/>
      <c r="L23" s="49"/>
      <c r="M23" s="47"/>
      <c r="N23" s="45"/>
      <c r="O23" s="49"/>
      <c r="P23" s="51"/>
      <c r="Q23" s="47"/>
    </row>
    <row r="24" spans="1:17" ht="29.25" customHeight="1" x14ac:dyDescent="0.25">
      <c r="A24" s="46">
        <v>4</v>
      </c>
      <c r="B24" s="46" t="s">
        <v>38</v>
      </c>
      <c r="C24" s="3"/>
      <c r="D24" s="25" t="s">
        <v>29</v>
      </c>
      <c r="E24" s="19">
        <v>1272000</v>
      </c>
      <c r="F24" s="31">
        <f>1472013+1554781</f>
        <v>3026794</v>
      </c>
      <c r="G24" s="42">
        <f>SUM(F24:F28)</f>
        <v>13951403</v>
      </c>
      <c r="H24" s="44">
        <f>$G$9*100/G24</f>
        <v>86.76749571351354</v>
      </c>
      <c r="I24" s="48">
        <f>(H24)*50%</f>
        <v>43.38374785675677</v>
      </c>
      <c r="J24" s="46">
        <v>7</v>
      </c>
      <c r="K24" s="44">
        <f>J24/J24*100</f>
        <v>100</v>
      </c>
      <c r="L24" s="48">
        <f>K24*30%</f>
        <v>30</v>
      </c>
      <c r="M24" s="46" t="s">
        <v>26</v>
      </c>
      <c r="N24" s="44">
        <v>100</v>
      </c>
      <c r="O24" s="48">
        <f t="shared" ref="O24" si="6">N24*20%</f>
        <v>20</v>
      </c>
      <c r="P24" s="50">
        <f>I24+L24+O24</f>
        <v>93.38374785675677</v>
      </c>
      <c r="Q24" s="46"/>
    </row>
    <row r="25" spans="1:17" ht="29.25" customHeight="1" x14ac:dyDescent="0.25">
      <c r="A25" s="47"/>
      <c r="B25" s="47"/>
      <c r="C25" s="24"/>
      <c r="D25" s="25" t="s">
        <v>30</v>
      </c>
      <c r="E25" s="26"/>
      <c r="F25" s="30">
        <f>3081971+2088441</f>
        <v>5170412</v>
      </c>
      <c r="G25" s="43"/>
      <c r="H25" s="45"/>
      <c r="I25" s="49"/>
      <c r="J25" s="47"/>
      <c r="K25" s="45"/>
      <c r="L25" s="49"/>
      <c r="M25" s="47"/>
      <c r="N25" s="45"/>
      <c r="O25" s="49"/>
      <c r="P25" s="51"/>
      <c r="Q25" s="47"/>
    </row>
    <row r="26" spans="1:17" ht="29.25" customHeight="1" x14ac:dyDescent="0.25">
      <c r="A26" s="47"/>
      <c r="B26" s="47"/>
      <c r="C26" s="24"/>
      <c r="D26" s="25" t="s">
        <v>31</v>
      </c>
      <c r="E26" s="26"/>
      <c r="F26" s="30">
        <f>551779+1006121</f>
        <v>1557900</v>
      </c>
      <c r="G26" s="43"/>
      <c r="H26" s="45"/>
      <c r="I26" s="49"/>
      <c r="J26" s="47"/>
      <c r="K26" s="45"/>
      <c r="L26" s="49"/>
      <c r="M26" s="47"/>
      <c r="N26" s="45"/>
      <c r="O26" s="49"/>
      <c r="P26" s="51"/>
      <c r="Q26" s="47"/>
    </row>
    <row r="27" spans="1:17" ht="29.25" customHeight="1" x14ac:dyDescent="0.25">
      <c r="A27" s="47"/>
      <c r="B27" s="47"/>
      <c r="C27" s="24"/>
      <c r="D27" s="25" t="s">
        <v>32</v>
      </c>
      <c r="E27" s="26"/>
      <c r="F27" s="30">
        <f>1589774+1679163</f>
        <v>3268937</v>
      </c>
      <c r="G27" s="43"/>
      <c r="H27" s="45"/>
      <c r="I27" s="49"/>
      <c r="J27" s="47"/>
      <c r="K27" s="45"/>
      <c r="L27" s="49"/>
      <c r="M27" s="47"/>
      <c r="N27" s="45"/>
      <c r="O27" s="49"/>
      <c r="P27" s="51"/>
      <c r="Q27" s="47"/>
    </row>
    <row r="28" spans="1:17" ht="29.25" customHeight="1" x14ac:dyDescent="0.25">
      <c r="A28" s="52"/>
      <c r="B28" s="52"/>
      <c r="C28" s="24"/>
      <c r="D28" s="25" t="s">
        <v>33</v>
      </c>
      <c r="E28" s="26">
        <v>72043</v>
      </c>
      <c r="F28" s="30">
        <v>927360</v>
      </c>
      <c r="G28" s="53"/>
      <c r="H28" s="54"/>
      <c r="I28" s="49"/>
      <c r="J28" s="52"/>
      <c r="K28" s="45"/>
      <c r="L28" s="49"/>
      <c r="M28" s="52"/>
      <c r="N28" s="54"/>
      <c r="O28" s="49"/>
      <c r="P28" s="55"/>
      <c r="Q28" s="52"/>
    </row>
    <row r="29" spans="1:17" ht="29.25" customHeight="1" x14ac:dyDescent="0.25">
      <c r="A29" s="46">
        <v>5</v>
      </c>
      <c r="B29" s="46" t="s">
        <v>37</v>
      </c>
      <c r="C29" s="3"/>
      <c r="D29" s="25" t="s">
        <v>29</v>
      </c>
      <c r="E29" s="19">
        <v>1272000</v>
      </c>
      <c r="F29" s="31">
        <f>1617000+1641500</f>
        <v>3258500</v>
      </c>
      <c r="G29" s="42">
        <f>SUM(F29:F33)</f>
        <v>14852880</v>
      </c>
      <c r="H29" s="44">
        <f>$G$9*100/G29</f>
        <v>81.501250935845434</v>
      </c>
      <c r="I29" s="48">
        <f t="shared" ref="I29" si="7">(H29)*50%</f>
        <v>40.750625467922717</v>
      </c>
      <c r="J29" s="46">
        <v>10</v>
      </c>
      <c r="K29" s="44">
        <f>J24/J29*100</f>
        <v>70</v>
      </c>
      <c r="L29" s="48">
        <f t="shared" ref="L29" si="8">K29*30%</f>
        <v>21</v>
      </c>
      <c r="M29" s="46" t="s">
        <v>26</v>
      </c>
      <c r="N29" s="44">
        <v>100</v>
      </c>
      <c r="O29" s="48">
        <f t="shared" ref="O29" si="9">N29*20%</f>
        <v>20</v>
      </c>
      <c r="P29" s="50">
        <f>I29+L29+O29</f>
        <v>81.750625467922717</v>
      </c>
      <c r="Q29" s="46"/>
    </row>
    <row r="30" spans="1:17" ht="29.25" customHeight="1" x14ac:dyDescent="0.25">
      <c r="A30" s="47"/>
      <c r="B30" s="47"/>
      <c r="C30" s="24"/>
      <c r="D30" s="25" t="s">
        <v>30</v>
      </c>
      <c r="E30" s="26"/>
      <c r="F30" s="30">
        <f>2940000+2548000</f>
        <v>5488000</v>
      </c>
      <c r="G30" s="43"/>
      <c r="H30" s="45"/>
      <c r="I30" s="49"/>
      <c r="J30" s="47"/>
      <c r="K30" s="45"/>
      <c r="L30" s="49"/>
      <c r="M30" s="47"/>
      <c r="N30" s="45"/>
      <c r="O30" s="49"/>
      <c r="P30" s="51"/>
      <c r="Q30" s="47"/>
    </row>
    <row r="31" spans="1:17" ht="29.25" customHeight="1" x14ac:dyDescent="0.25">
      <c r="A31" s="47"/>
      <c r="B31" s="47"/>
      <c r="C31" s="24"/>
      <c r="D31" s="25" t="s">
        <v>31</v>
      </c>
      <c r="E31" s="26"/>
      <c r="F31" s="30">
        <f>666400+980000</f>
        <v>1646400</v>
      </c>
      <c r="G31" s="43"/>
      <c r="H31" s="45"/>
      <c r="I31" s="49"/>
      <c r="J31" s="47"/>
      <c r="K31" s="45"/>
      <c r="L31" s="49"/>
      <c r="M31" s="47"/>
      <c r="N31" s="45"/>
      <c r="O31" s="49"/>
      <c r="P31" s="51"/>
      <c r="Q31" s="47"/>
    </row>
    <row r="32" spans="1:17" ht="29.25" customHeight="1" x14ac:dyDescent="0.25">
      <c r="A32" s="47"/>
      <c r="B32" s="47"/>
      <c r="C32" s="24"/>
      <c r="D32" s="25" t="s">
        <v>32</v>
      </c>
      <c r="E32" s="26"/>
      <c r="F32" s="30">
        <f>1746360+1772820</f>
        <v>3519180</v>
      </c>
      <c r="G32" s="43"/>
      <c r="H32" s="45"/>
      <c r="I32" s="49"/>
      <c r="J32" s="47"/>
      <c r="K32" s="45"/>
      <c r="L32" s="49"/>
      <c r="M32" s="47"/>
      <c r="N32" s="45"/>
      <c r="O32" s="49"/>
      <c r="P32" s="51"/>
      <c r="Q32" s="47"/>
    </row>
    <row r="33" spans="1:17" ht="29.25" customHeight="1" x14ac:dyDescent="0.25">
      <c r="A33" s="52"/>
      <c r="B33" s="52"/>
      <c r="C33" s="24"/>
      <c r="D33" s="25" t="s">
        <v>33</v>
      </c>
      <c r="E33" s="26">
        <v>72043</v>
      </c>
      <c r="F33" s="30">
        <v>940800</v>
      </c>
      <c r="G33" s="53"/>
      <c r="H33" s="54"/>
      <c r="I33" s="49"/>
      <c r="J33" s="52"/>
      <c r="K33" s="54"/>
      <c r="L33" s="49"/>
      <c r="M33" s="52"/>
      <c r="N33" s="54"/>
      <c r="O33" s="49"/>
      <c r="P33" s="55"/>
      <c r="Q33" s="52"/>
    </row>
  </sheetData>
  <mergeCells count="77">
    <mergeCell ref="O29:O33"/>
    <mergeCell ref="P29:P33"/>
    <mergeCell ref="Q29:Q33"/>
    <mergeCell ref="J29:J33"/>
    <mergeCell ref="K29:K33"/>
    <mergeCell ref="L29:L33"/>
    <mergeCell ref="M29:M33"/>
    <mergeCell ref="N29:N33"/>
    <mergeCell ref="A29:A33"/>
    <mergeCell ref="B29:B33"/>
    <mergeCell ref="G29:G33"/>
    <mergeCell ref="H29:H33"/>
    <mergeCell ref="I29:I33"/>
    <mergeCell ref="O24:O28"/>
    <mergeCell ref="P24:P28"/>
    <mergeCell ref="Q24:Q28"/>
    <mergeCell ref="J24:J28"/>
    <mergeCell ref="K24:K28"/>
    <mergeCell ref="L24:L28"/>
    <mergeCell ref="M24:M28"/>
    <mergeCell ref="N24:N28"/>
    <mergeCell ref="A24:A28"/>
    <mergeCell ref="B24:B28"/>
    <mergeCell ref="G24:G28"/>
    <mergeCell ref="H24:H28"/>
    <mergeCell ref="I24:I28"/>
    <mergeCell ref="Q14:Q18"/>
    <mergeCell ref="A19:A23"/>
    <mergeCell ref="B19:B23"/>
    <mergeCell ref="G19:G23"/>
    <mergeCell ref="H19:H23"/>
    <mergeCell ref="I19:I23"/>
    <mergeCell ref="J19:J23"/>
    <mergeCell ref="K19:K23"/>
    <mergeCell ref="L19:L23"/>
    <mergeCell ref="M19:M23"/>
    <mergeCell ref="N19:N23"/>
    <mergeCell ref="O19:O23"/>
    <mergeCell ref="P19:P23"/>
    <mergeCell ref="Q19:Q23"/>
    <mergeCell ref="L14:L18"/>
    <mergeCell ref="M14:M18"/>
    <mergeCell ref="N14:N18"/>
    <mergeCell ref="O14:O18"/>
    <mergeCell ref="P14:P18"/>
    <mergeCell ref="G14:G18"/>
    <mergeCell ref="H14:H18"/>
    <mergeCell ref="I14:I18"/>
    <mergeCell ref="J14:J18"/>
    <mergeCell ref="K14:K18"/>
    <mergeCell ref="O9:O13"/>
    <mergeCell ref="P9:P13"/>
    <mergeCell ref="Q9:Q13"/>
    <mergeCell ref="L9:L13"/>
    <mergeCell ref="I9:I13"/>
    <mergeCell ref="J9:J13"/>
    <mergeCell ref="K9:K13"/>
    <mergeCell ref="M9:M13"/>
    <mergeCell ref="N9:N13"/>
    <mergeCell ref="G9:G13"/>
    <mergeCell ref="H9:H13"/>
    <mergeCell ref="C7:C8"/>
    <mergeCell ref="B7:B8"/>
    <mergeCell ref="A14:A18"/>
    <mergeCell ref="B14:B18"/>
    <mergeCell ref="A9:A13"/>
    <mergeCell ref="B9:B13"/>
    <mergeCell ref="A7:A8"/>
    <mergeCell ref="M7:O7"/>
    <mergeCell ref="A1:Q1"/>
    <mergeCell ref="G7:I7"/>
    <mergeCell ref="J7:L7"/>
    <mergeCell ref="P7:Q7"/>
    <mergeCell ref="F7:F8"/>
    <mergeCell ref="B5:Q6"/>
    <mergeCell ref="E7:E8"/>
    <mergeCell ref="D7:D8"/>
  </mergeCells>
  <pageMargins left="0.7" right="0.7" top="0.75" bottom="0.75" header="0.3" footer="0.3"/>
  <pageSetup paperSize="148" scale="74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6CB3F7-71F3-48E9-A347-8D4B24326278}">
  <dimension ref="A1:N29"/>
  <sheetViews>
    <sheetView workbookViewId="0">
      <selection activeCell="O20" sqref="O20"/>
    </sheetView>
  </sheetViews>
  <sheetFormatPr baseColWidth="10" defaultRowHeight="15" x14ac:dyDescent="0.25"/>
  <cols>
    <col min="1" max="1" width="3.42578125" customWidth="1"/>
    <col min="2" max="2" width="18.140625" customWidth="1"/>
    <col min="3" max="3" width="13.5703125" style="15" hidden="1" customWidth="1"/>
    <col min="4" max="4" width="11.140625" customWidth="1"/>
    <col min="5" max="5" width="8.28515625" style="8" customWidth="1"/>
    <col min="6" max="6" width="9.140625" style="8" customWidth="1"/>
    <col min="7" max="7" width="8.5703125" customWidth="1"/>
    <col min="8" max="8" width="9.5703125" style="8" customWidth="1"/>
    <col min="9" max="9" width="9.7109375" style="8" customWidth="1"/>
    <col min="10" max="10" width="7.5703125" style="8" customWidth="1"/>
    <col min="11" max="11" width="25" customWidth="1"/>
  </cols>
  <sheetData>
    <row r="1" spans="1:14" ht="32.25" customHeight="1" x14ac:dyDescent="0.25">
      <c r="B1" s="56" t="s">
        <v>11</v>
      </c>
      <c r="C1" s="56"/>
      <c r="D1" s="56"/>
      <c r="E1" s="56"/>
      <c r="F1" s="56"/>
      <c r="G1" s="56"/>
      <c r="H1" s="56"/>
      <c r="I1" s="56"/>
      <c r="J1" s="56"/>
      <c r="K1" s="56"/>
    </row>
    <row r="2" spans="1:14" ht="22.5" customHeight="1" x14ac:dyDescent="0.25">
      <c r="B2" s="56"/>
      <c r="C2" s="56"/>
      <c r="D2" s="56"/>
      <c r="E2" s="56"/>
      <c r="F2" s="56"/>
      <c r="G2" s="56"/>
      <c r="H2" s="56"/>
      <c r="I2" s="56"/>
      <c r="J2" s="56"/>
      <c r="K2" s="56"/>
    </row>
    <row r="3" spans="1:14" x14ac:dyDescent="0.25">
      <c r="A3" s="57"/>
      <c r="B3" s="58"/>
      <c r="C3" s="18"/>
      <c r="D3" s="1">
        <v>0.6</v>
      </c>
      <c r="E3" s="9"/>
      <c r="F3" s="9"/>
      <c r="G3" s="1">
        <v>0.4</v>
      </c>
      <c r="H3" s="9"/>
      <c r="I3" s="9"/>
      <c r="J3" s="9"/>
      <c r="K3" s="2"/>
    </row>
    <row r="4" spans="1:14" ht="45" x14ac:dyDescent="0.25">
      <c r="A4" s="3"/>
      <c r="B4" s="3" t="s">
        <v>0</v>
      </c>
      <c r="C4" s="19"/>
      <c r="D4" s="3" t="s">
        <v>1</v>
      </c>
      <c r="E4" s="10" t="s">
        <v>2</v>
      </c>
      <c r="F4" s="12" t="s">
        <v>3</v>
      </c>
      <c r="G4" s="3" t="s">
        <v>6</v>
      </c>
      <c r="H4" s="10" t="s">
        <v>2</v>
      </c>
      <c r="I4" s="12" t="s">
        <v>3</v>
      </c>
      <c r="J4" s="10" t="s">
        <v>4</v>
      </c>
      <c r="K4" s="3" t="s">
        <v>5</v>
      </c>
      <c r="M4" s="15"/>
    </row>
    <row r="5" spans="1:14" x14ac:dyDescent="0.25">
      <c r="A5" s="46">
        <v>1</v>
      </c>
      <c r="B5" s="46" t="s">
        <v>12</v>
      </c>
      <c r="C5" s="68">
        <v>1537302</v>
      </c>
      <c r="D5" s="42">
        <v>1597252</v>
      </c>
      <c r="E5" s="59">
        <f>$D$5*100/D5</f>
        <v>100</v>
      </c>
      <c r="F5" s="62">
        <f>(E5*100/$E$5)*60%</f>
        <v>60</v>
      </c>
      <c r="G5" s="65">
        <v>1</v>
      </c>
      <c r="H5" s="59">
        <f>G5/G5*100</f>
        <v>100</v>
      </c>
      <c r="I5" s="62">
        <f>H5*40%</f>
        <v>40</v>
      </c>
      <c r="J5" s="59">
        <f>F5+I5</f>
        <v>100</v>
      </c>
      <c r="K5" s="46" t="s">
        <v>16</v>
      </c>
      <c r="M5" s="15"/>
    </row>
    <row r="6" spans="1:14" x14ac:dyDescent="0.25">
      <c r="A6" s="47"/>
      <c r="B6" s="47"/>
      <c r="C6" s="69"/>
      <c r="D6" s="47"/>
      <c r="E6" s="60"/>
      <c r="F6" s="63"/>
      <c r="G6" s="66"/>
      <c r="H6" s="60"/>
      <c r="I6" s="63"/>
      <c r="J6" s="60"/>
      <c r="K6" s="47"/>
      <c r="M6" s="15"/>
    </row>
    <row r="7" spans="1:14" x14ac:dyDescent="0.25">
      <c r="A7" s="47"/>
      <c r="B7" s="47"/>
      <c r="C7" s="69"/>
      <c r="D7" s="47"/>
      <c r="E7" s="60"/>
      <c r="F7" s="63"/>
      <c r="G7" s="66"/>
      <c r="H7" s="60"/>
      <c r="I7" s="63"/>
      <c r="J7" s="60"/>
      <c r="K7" s="47"/>
      <c r="M7" s="15"/>
    </row>
    <row r="8" spans="1:14" x14ac:dyDescent="0.25">
      <c r="A8" s="52"/>
      <c r="B8" s="52"/>
      <c r="C8" s="70"/>
      <c r="D8" s="52"/>
      <c r="E8" s="61"/>
      <c r="F8" s="64"/>
      <c r="G8" s="67"/>
      <c r="H8" s="61"/>
      <c r="I8" s="64"/>
      <c r="J8" s="61"/>
      <c r="K8" s="52"/>
      <c r="M8" s="15"/>
    </row>
    <row r="9" spans="1:14" ht="18.75" customHeight="1" x14ac:dyDescent="0.25">
      <c r="A9" s="71">
        <v>2</v>
      </c>
      <c r="B9" s="46" t="s">
        <v>10</v>
      </c>
      <c r="C9" s="89">
        <v>1598277</v>
      </c>
      <c r="D9" s="74">
        <v>1703961</v>
      </c>
      <c r="E9" s="59">
        <f t="shared" ref="E9" si="0">$D$5*100/D9</f>
        <v>93.737591412010019</v>
      </c>
      <c r="F9" s="62">
        <f t="shared" ref="F9" si="1">(E9*100/$E$5)*60%</f>
        <v>56.242554847206009</v>
      </c>
      <c r="G9" s="77">
        <v>2</v>
      </c>
      <c r="H9" s="59">
        <f>G5/G9*100</f>
        <v>50</v>
      </c>
      <c r="I9" s="62">
        <f>H9*40%</f>
        <v>20</v>
      </c>
      <c r="J9" s="59">
        <f>F9+I9</f>
        <v>76.242554847206009</v>
      </c>
      <c r="K9" s="80"/>
    </row>
    <row r="10" spans="1:14" ht="18.75" customHeight="1" x14ac:dyDescent="0.25">
      <c r="A10" s="72"/>
      <c r="B10" s="47"/>
      <c r="C10" s="90"/>
      <c r="D10" s="75"/>
      <c r="E10" s="60"/>
      <c r="F10" s="63"/>
      <c r="G10" s="78"/>
      <c r="H10" s="60"/>
      <c r="I10" s="63"/>
      <c r="J10" s="60"/>
      <c r="K10" s="81"/>
    </row>
    <row r="11" spans="1:14" ht="18.75" customHeight="1" x14ac:dyDescent="0.25">
      <c r="A11" s="72"/>
      <c r="B11" s="47"/>
      <c r="C11" s="90"/>
      <c r="D11" s="75"/>
      <c r="E11" s="60"/>
      <c r="F11" s="63"/>
      <c r="G11" s="78"/>
      <c r="H11" s="60"/>
      <c r="I11" s="63"/>
      <c r="J11" s="60"/>
      <c r="K11" s="81"/>
    </row>
    <row r="12" spans="1:14" ht="18.75" customHeight="1" x14ac:dyDescent="0.25">
      <c r="A12" s="73"/>
      <c r="B12" s="52"/>
      <c r="C12" s="91"/>
      <c r="D12" s="76"/>
      <c r="E12" s="61"/>
      <c r="F12" s="64"/>
      <c r="G12" s="79"/>
      <c r="H12" s="61"/>
      <c r="I12" s="64"/>
      <c r="J12" s="61"/>
      <c r="K12" s="82"/>
    </row>
    <row r="13" spans="1:14" ht="18.75" customHeight="1" x14ac:dyDescent="0.25">
      <c r="A13" s="71">
        <v>3</v>
      </c>
      <c r="B13" s="83" t="s">
        <v>8</v>
      </c>
      <c r="C13" s="86">
        <v>1637916</v>
      </c>
      <c r="D13" s="74">
        <v>1780156</v>
      </c>
      <c r="E13" s="59">
        <f t="shared" ref="E13" si="2">$D$5*100/D13</f>
        <v>89.725394853035354</v>
      </c>
      <c r="F13" s="62">
        <f t="shared" ref="F13" si="3">(E13*100/$E$5)*60%</f>
        <v>53.835236911821212</v>
      </c>
      <c r="G13" s="77">
        <v>1</v>
      </c>
      <c r="H13" s="59">
        <f>G5/G13*100</f>
        <v>100</v>
      </c>
      <c r="I13" s="62">
        <f t="shared" ref="I13" si="4">H13*40%</f>
        <v>40</v>
      </c>
      <c r="J13" s="92">
        <f t="shared" ref="J13" si="5">F13+I13</f>
        <v>93.835236911821212</v>
      </c>
      <c r="K13" s="80" t="s">
        <v>7</v>
      </c>
      <c r="N13" s="7"/>
    </row>
    <row r="14" spans="1:14" ht="18.75" customHeight="1" x14ac:dyDescent="0.25">
      <c r="A14" s="72"/>
      <c r="B14" s="84"/>
      <c r="C14" s="87"/>
      <c r="D14" s="75"/>
      <c r="E14" s="60"/>
      <c r="F14" s="63"/>
      <c r="G14" s="78"/>
      <c r="H14" s="60"/>
      <c r="I14" s="63"/>
      <c r="J14" s="93"/>
      <c r="K14" s="81"/>
      <c r="N14" s="17"/>
    </row>
    <row r="15" spans="1:14" ht="18.75" customHeight="1" x14ac:dyDescent="0.25">
      <c r="A15" s="72"/>
      <c r="B15" s="84"/>
      <c r="C15" s="87"/>
      <c r="D15" s="75"/>
      <c r="E15" s="60"/>
      <c r="F15" s="63"/>
      <c r="G15" s="78"/>
      <c r="H15" s="60"/>
      <c r="I15" s="63"/>
      <c r="J15" s="93"/>
      <c r="K15" s="81"/>
      <c r="N15" s="17"/>
    </row>
    <row r="16" spans="1:14" ht="18.75" customHeight="1" x14ac:dyDescent="0.25">
      <c r="A16" s="72"/>
      <c r="B16" s="85"/>
      <c r="C16" s="88"/>
      <c r="D16" s="76"/>
      <c r="E16" s="61"/>
      <c r="F16" s="64"/>
      <c r="G16" s="79"/>
      <c r="H16" s="61"/>
      <c r="I16" s="64"/>
      <c r="J16" s="94"/>
      <c r="K16" s="82"/>
      <c r="N16" s="17"/>
    </row>
    <row r="17" spans="1:11" ht="18.75" customHeight="1" x14ac:dyDescent="0.25">
      <c r="A17" s="71">
        <v>4</v>
      </c>
      <c r="B17" s="83" t="s">
        <v>13</v>
      </c>
      <c r="C17" s="86">
        <v>1598277</v>
      </c>
      <c r="D17" s="74">
        <v>2430614</v>
      </c>
      <c r="E17" s="59">
        <f t="shared" ref="E17" si="6">$D$5*100/D17</f>
        <v>65.713930718740201</v>
      </c>
      <c r="F17" s="62">
        <f t="shared" ref="F17" si="7">(E17*100/$E$5)*60%</f>
        <v>39.428358431244121</v>
      </c>
      <c r="G17" s="77">
        <v>3</v>
      </c>
      <c r="H17" s="59">
        <f>G5/G17*100</f>
        <v>33.333333333333329</v>
      </c>
      <c r="I17" s="62">
        <f t="shared" ref="I17:I21" si="8">H17*40%</f>
        <v>13.333333333333332</v>
      </c>
      <c r="J17" s="59">
        <f t="shared" ref="J17" si="9">F17+I17</f>
        <v>52.761691764577449</v>
      </c>
      <c r="K17" s="80" t="s">
        <v>15</v>
      </c>
    </row>
    <row r="18" spans="1:11" ht="18.75" customHeight="1" x14ac:dyDescent="0.25">
      <c r="A18" s="72"/>
      <c r="B18" s="84"/>
      <c r="C18" s="87"/>
      <c r="D18" s="75"/>
      <c r="E18" s="60"/>
      <c r="F18" s="63"/>
      <c r="G18" s="78"/>
      <c r="H18" s="60"/>
      <c r="I18" s="63"/>
      <c r="J18" s="60"/>
      <c r="K18" s="81"/>
    </row>
    <row r="19" spans="1:11" ht="18.75" customHeight="1" x14ac:dyDescent="0.25">
      <c r="A19" s="72"/>
      <c r="B19" s="84"/>
      <c r="C19" s="87"/>
      <c r="D19" s="75"/>
      <c r="E19" s="60"/>
      <c r="F19" s="63"/>
      <c r="G19" s="78"/>
      <c r="H19" s="60"/>
      <c r="I19" s="63"/>
      <c r="J19" s="60"/>
      <c r="K19" s="81"/>
    </row>
    <row r="20" spans="1:11" ht="18.75" customHeight="1" x14ac:dyDescent="0.25">
      <c r="A20" s="73"/>
      <c r="B20" s="85"/>
      <c r="C20" s="88"/>
      <c r="D20" s="76"/>
      <c r="E20" s="61"/>
      <c r="F20" s="64"/>
      <c r="G20" s="79"/>
      <c r="H20" s="61"/>
      <c r="I20" s="64"/>
      <c r="J20" s="61"/>
      <c r="K20" s="82"/>
    </row>
    <row r="21" spans="1:11" ht="18.75" customHeight="1" x14ac:dyDescent="0.25">
      <c r="A21" s="71">
        <v>5</v>
      </c>
      <c r="B21" s="83" t="s">
        <v>14</v>
      </c>
      <c r="C21" s="95">
        <v>827213</v>
      </c>
      <c r="D21" s="74">
        <v>4120967</v>
      </c>
      <c r="E21" s="59">
        <f t="shared" ref="E21" si="10">$D$5*100/D21</f>
        <v>38.759155314759859</v>
      </c>
      <c r="F21" s="62">
        <f t="shared" ref="F21" si="11">(E21*100/$E$5)*60%</f>
        <v>23.255493188855915</v>
      </c>
      <c r="G21" s="77">
        <v>2</v>
      </c>
      <c r="H21" s="59">
        <f>G5/G21*100</f>
        <v>50</v>
      </c>
      <c r="I21" s="62">
        <f t="shared" si="8"/>
        <v>20</v>
      </c>
      <c r="J21" s="59">
        <f t="shared" ref="J21" si="12">F21+I21</f>
        <v>43.255493188855915</v>
      </c>
      <c r="K21" s="80" t="s">
        <v>15</v>
      </c>
    </row>
    <row r="22" spans="1:11" ht="18.75" customHeight="1" x14ac:dyDescent="0.25">
      <c r="A22" s="72"/>
      <c r="B22" s="84"/>
      <c r="C22" s="96"/>
      <c r="D22" s="75"/>
      <c r="E22" s="60"/>
      <c r="F22" s="63"/>
      <c r="G22" s="78"/>
      <c r="H22" s="60"/>
      <c r="I22" s="63"/>
      <c r="J22" s="60"/>
      <c r="K22" s="81"/>
    </row>
    <row r="23" spans="1:11" ht="18.75" customHeight="1" x14ac:dyDescent="0.25">
      <c r="A23" s="72"/>
      <c r="B23" s="84"/>
      <c r="C23" s="96"/>
      <c r="D23" s="75"/>
      <c r="E23" s="60"/>
      <c r="F23" s="63"/>
      <c r="G23" s="78"/>
      <c r="H23" s="60"/>
      <c r="I23" s="63"/>
      <c r="J23" s="60"/>
      <c r="K23" s="81"/>
    </row>
    <row r="24" spans="1:11" ht="18.75" customHeight="1" x14ac:dyDescent="0.25">
      <c r="A24" s="73"/>
      <c r="B24" s="85"/>
      <c r="C24" s="97"/>
      <c r="D24" s="76"/>
      <c r="E24" s="61"/>
      <c r="F24" s="64"/>
      <c r="G24" s="79"/>
      <c r="H24" s="61"/>
      <c r="I24" s="64"/>
      <c r="J24" s="61"/>
      <c r="K24" s="82"/>
    </row>
    <row r="25" spans="1:11" ht="15" hidden="1" customHeight="1" x14ac:dyDescent="0.25">
      <c r="A25" s="4">
        <v>12</v>
      </c>
      <c r="B25" s="16" t="s">
        <v>9</v>
      </c>
      <c r="C25" s="20"/>
      <c r="D25" s="6">
        <v>1463707</v>
      </c>
      <c r="E25" s="11">
        <f>$D$9/D25*7</f>
        <v>8.1489854185298007</v>
      </c>
      <c r="F25" s="13">
        <f>(E25*100/$E$9)*60%</f>
        <v>5.2160410540391089</v>
      </c>
      <c r="G25" s="5">
        <v>8</v>
      </c>
      <c r="H25" s="60"/>
      <c r="I25" s="63"/>
      <c r="J25" s="11">
        <f t="shared" ref="J25:J29" si="13">F25+I25</f>
        <v>5.2160410540391089</v>
      </c>
      <c r="K25" s="7"/>
    </row>
    <row r="26" spans="1:11" ht="15" hidden="1" customHeight="1" x14ac:dyDescent="0.25">
      <c r="A26" s="4">
        <v>13</v>
      </c>
      <c r="B26" s="16" t="s">
        <v>9</v>
      </c>
      <c r="C26" s="20"/>
      <c r="D26" s="6">
        <v>1463708</v>
      </c>
      <c r="E26" s="11">
        <f>$D$9/D26*7</f>
        <v>8.148979851172502</v>
      </c>
      <c r="F26" s="13">
        <f>(E26*100/$E$9)*60%</f>
        <v>5.2160374904587679</v>
      </c>
      <c r="G26" s="5">
        <v>9</v>
      </c>
      <c r="H26" s="61"/>
      <c r="I26" s="64"/>
      <c r="J26" s="11">
        <f t="shared" si="13"/>
        <v>5.2160374904587679</v>
      </c>
      <c r="K26" s="7"/>
    </row>
    <row r="27" spans="1:11" ht="30" hidden="1" x14ac:dyDescent="0.25">
      <c r="A27" s="4">
        <v>14</v>
      </c>
      <c r="B27" s="16" t="s">
        <v>9</v>
      </c>
      <c r="C27" s="20"/>
      <c r="D27" s="6">
        <v>1463709</v>
      </c>
      <c r="E27" s="11">
        <f>$D$9/D27*7</f>
        <v>8.1489742838228096</v>
      </c>
      <c r="F27" s="13">
        <f>(E27*100/$E$9)*60%</f>
        <v>5.2160339268832958</v>
      </c>
      <c r="G27" s="5">
        <v>10</v>
      </c>
      <c r="H27" s="14" t="e">
        <f>#REF!/G27*7</f>
        <v>#REF!</v>
      </c>
      <c r="I27" s="62" t="e">
        <f t="shared" ref="I27" si="14">H27*40%</f>
        <v>#REF!</v>
      </c>
      <c r="J27" s="11" t="e">
        <f t="shared" si="13"/>
        <v>#REF!</v>
      </c>
      <c r="K27" s="7"/>
    </row>
    <row r="28" spans="1:11" ht="30" hidden="1" x14ac:dyDescent="0.25">
      <c r="A28" s="4">
        <v>15</v>
      </c>
      <c r="B28" s="16" t="s">
        <v>9</v>
      </c>
      <c r="C28" s="20"/>
      <c r="D28" s="6">
        <v>1463710</v>
      </c>
      <c r="E28" s="11">
        <f>$D$9/D28*7</f>
        <v>8.1489687164807236</v>
      </c>
      <c r="F28" s="13">
        <f>(E28*100/$E$9)*60%</f>
        <v>5.2160303633126937</v>
      </c>
      <c r="G28" s="5">
        <v>11</v>
      </c>
      <c r="H28" s="14" t="e">
        <f>#REF!/G28*7</f>
        <v>#REF!</v>
      </c>
      <c r="I28" s="63"/>
      <c r="J28" s="11">
        <f t="shared" si="13"/>
        <v>5.2160303633126937</v>
      </c>
      <c r="K28" s="7"/>
    </row>
    <row r="29" spans="1:11" ht="30" hidden="1" x14ac:dyDescent="0.25">
      <c r="A29" s="4">
        <v>16</v>
      </c>
      <c r="B29" s="16" t="s">
        <v>9</v>
      </c>
      <c r="C29" s="20"/>
      <c r="D29" s="6">
        <v>1463711</v>
      </c>
      <c r="E29" s="11">
        <f>$D$9/D29*7</f>
        <v>8.148963149146244</v>
      </c>
      <c r="F29" s="13">
        <f>(E29*100/$E$9)*60%</f>
        <v>5.2160267997469587</v>
      </c>
      <c r="G29" s="5">
        <v>12</v>
      </c>
      <c r="H29" s="14" t="e">
        <f>#REF!/G29*7</f>
        <v>#REF!</v>
      </c>
      <c r="I29" s="64"/>
      <c r="J29" s="11">
        <f t="shared" si="13"/>
        <v>5.2160267997469587</v>
      </c>
      <c r="K29" s="7"/>
    </row>
  </sheetData>
  <mergeCells count="60">
    <mergeCell ref="J9:J12"/>
    <mergeCell ref="J5:J8"/>
    <mergeCell ref="H25:H26"/>
    <mergeCell ref="I25:I26"/>
    <mergeCell ref="I27:I29"/>
    <mergeCell ref="C21:C24"/>
    <mergeCell ref="C17:C20"/>
    <mergeCell ref="G17:G20"/>
    <mergeCell ref="H17:H20"/>
    <mergeCell ref="I17:I20"/>
    <mergeCell ref="F17:F20"/>
    <mergeCell ref="K17:K20"/>
    <mergeCell ref="A21:A24"/>
    <mergeCell ref="B21:B24"/>
    <mergeCell ref="D21:D24"/>
    <mergeCell ref="E21:E24"/>
    <mergeCell ref="F21:F24"/>
    <mergeCell ref="G21:G24"/>
    <mergeCell ref="H21:H24"/>
    <mergeCell ref="I21:I24"/>
    <mergeCell ref="K21:K24"/>
    <mergeCell ref="J21:J24"/>
    <mergeCell ref="J17:J20"/>
    <mergeCell ref="A17:A20"/>
    <mergeCell ref="B17:B20"/>
    <mergeCell ref="D17:D20"/>
    <mergeCell ref="E17:E20"/>
    <mergeCell ref="G9:G12"/>
    <mergeCell ref="H9:H12"/>
    <mergeCell ref="I9:I12"/>
    <mergeCell ref="K9:K12"/>
    <mergeCell ref="A13:A16"/>
    <mergeCell ref="B13:B16"/>
    <mergeCell ref="D13:D16"/>
    <mergeCell ref="E13:E16"/>
    <mergeCell ref="F13:F16"/>
    <mergeCell ref="G13:G16"/>
    <mergeCell ref="H13:H16"/>
    <mergeCell ref="I13:I16"/>
    <mergeCell ref="K13:K16"/>
    <mergeCell ref="C13:C16"/>
    <mergeCell ref="C9:C12"/>
    <mergeCell ref="J13:J16"/>
    <mergeCell ref="A9:A12"/>
    <mergeCell ref="B9:B12"/>
    <mergeCell ref="D9:D12"/>
    <mergeCell ref="E9:E12"/>
    <mergeCell ref="F9:F12"/>
    <mergeCell ref="B1:K2"/>
    <mergeCell ref="A3:B3"/>
    <mergeCell ref="A5:A8"/>
    <mergeCell ref="B5:B8"/>
    <mergeCell ref="D5:D8"/>
    <mergeCell ref="E5:E8"/>
    <mergeCell ref="F5:F8"/>
    <mergeCell ref="G5:G8"/>
    <mergeCell ref="H5:H8"/>
    <mergeCell ref="I5:I8"/>
    <mergeCell ref="K5:K8"/>
    <mergeCell ref="C5:C8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8E6B0F-4F14-47C0-B545-65914F045454}">
  <dimension ref="D4:H66"/>
  <sheetViews>
    <sheetView topLeftCell="A37" workbookViewId="0">
      <selection activeCell="K33" sqref="K33"/>
    </sheetView>
  </sheetViews>
  <sheetFormatPr baseColWidth="10" defaultRowHeight="15" x14ac:dyDescent="0.25"/>
  <sheetData>
    <row r="4" spans="4:8" x14ac:dyDescent="0.25">
      <c r="D4">
        <v>6050</v>
      </c>
      <c r="F4">
        <v>18000</v>
      </c>
      <c r="H4">
        <v>7680</v>
      </c>
    </row>
    <row r="5" spans="4:8" x14ac:dyDescent="0.25">
      <c r="D5">
        <v>6050</v>
      </c>
      <c r="F5">
        <v>114390</v>
      </c>
      <c r="H5">
        <v>39840</v>
      </c>
    </row>
    <row r="6" spans="4:8" x14ac:dyDescent="0.25">
      <c r="D6">
        <v>5100</v>
      </c>
      <c r="F6">
        <v>9000</v>
      </c>
      <c r="H6">
        <v>53400</v>
      </c>
    </row>
    <row r="7" spans="4:8" x14ac:dyDescent="0.25">
      <c r="D7">
        <v>5100</v>
      </c>
      <c r="F7">
        <v>9000</v>
      </c>
      <c r="H7">
        <v>7260</v>
      </c>
    </row>
    <row r="8" spans="4:8" x14ac:dyDescent="0.25">
      <c r="D8">
        <v>5100</v>
      </c>
      <c r="H8">
        <v>7260</v>
      </c>
    </row>
    <row r="9" spans="4:8" x14ac:dyDescent="0.25">
      <c r="D9">
        <v>38200</v>
      </c>
      <c r="H9">
        <v>4400</v>
      </c>
    </row>
    <row r="10" spans="4:8" x14ac:dyDescent="0.25">
      <c r="D10">
        <v>1480</v>
      </c>
      <c r="H10">
        <v>5040</v>
      </c>
    </row>
    <row r="11" spans="4:8" x14ac:dyDescent="0.25">
      <c r="D11">
        <v>900</v>
      </c>
      <c r="H11">
        <v>4500</v>
      </c>
    </row>
    <row r="12" spans="4:8" x14ac:dyDescent="0.25">
      <c r="D12">
        <v>32100</v>
      </c>
      <c r="H12">
        <v>6360</v>
      </c>
    </row>
    <row r="13" spans="4:8" x14ac:dyDescent="0.25">
      <c r="D13">
        <v>10700</v>
      </c>
      <c r="H13">
        <v>8700</v>
      </c>
    </row>
    <row r="14" spans="4:8" x14ac:dyDescent="0.25">
      <c r="D14">
        <v>5320</v>
      </c>
      <c r="H14">
        <v>3980</v>
      </c>
    </row>
    <row r="15" spans="4:8" x14ac:dyDescent="0.25">
      <c r="D15">
        <v>5320</v>
      </c>
      <c r="H15">
        <v>3980</v>
      </c>
    </row>
    <row r="16" spans="4:8" x14ac:dyDescent="0.25">
      <c r="D16">
        <v>5320</v>
      </c>
      <c r="H16">
        <v>3980</v>
      </c>
    </row>
    <row r="17" spans="4:8" x14ac:dyDescent="0.25">
      <c r="D17">
        <v>5320</v>
      </c>
      <c r="H17">
        <v>3980</v>
      </c>
    </row>
    <row r="18" spans="4:8" x14ac:dyDescent="0.25">
      <c r="D18">
        <v>5320</v>
      </c>
      <c r="H18">
        <v>3980</v>
      </c>
    </row>
    <row r="19" spans="4:8" x14ac:dyDescent="0.25">
      <c r="D19">
        <v>5320</v>
      </c>
      <c r="H19">
        <v>13180</v>
      </c>
    </row>
    <row r="20" spans="4:8" x14ac:dyDescent="0.25">
      <c r="D20">
        <v>5320</v>
      </c>
      <c r="H20">
        <v>3980</v>
      </c>
    </row>
    <row r="21" spans="4:8" x14ac:dyDescent="0.25">
      <c r="D21">
        <v>5320</v>
      </c>
      <c r="H21">
        <v>24380</v>
      </c>
    </row>
    <row r="22" spans="4:8" x14ac:dyDescent="0.25">
      <c r="D22">
        <v>5320</v>
      </c>
      <c r="H22">
        <v>5920</v>
      </c>
    </row>
    <row r="23" spans="4:8" x14ac:dyDescent="0.25">
      <c r="D23">
        <v>5320</v>
      </c>
      <c r="H23">
        <v>7950</v>
      </c>
    </row>
    <row r="24" spans="4:8" x14ac:dyDescent="0.25">
      <c r="D24">
        <v>5320</v>
      </c>
      <c r="H24">
        <v>7360</v>
      </c>
    </row>
    <row r="25" spans="4:8" x14ac:dyDescent="0.25">
      <c r="D25">
        <v>14000</v>
      </c>
      <c r="H25">
        <v>3600</v>
      </c>
    </row>
    <row r="26" spans="4:8" x14ac:dyDescent="0.25">
      <c r="D26">
        <v>12780</v>
      </c>
      <c r="H26">
        <v>16050</v>
      </c>
    </row>
    <row r="27" spans="4:8" x14ac:dyDescent="0.25">
      <c r="D27">
        <v>12600</v>
      </c>
      <c r="H27">
        <v>4020</v>
      </c>
    </row>
    <row r="28" spans="4:8" x14ac:dyDescent="0.25">
      <c r="D28">
        <v>17000</v>
      </c>
      <c r="H28">
        <v>4020</v>
      </c>
    </row>
    <row r="29" spans="4:8" x14ac:dyDescent="0.25">
      <c r="D29">
        <v>8000</v>
      </c>
      <c r="H29">
        <v>4020</v>
      </c>
    </row>
    <row r="30" spans="4:8" x14ac:dyDescent="0.25">
      <c r="H30">
        <v>4020</v>
      </c>
    </row>
    <row r="31" spans="4:8" x14ac:dyDescent="0.25">
      <c r="D31">
        <v>31200</v>
      </c>
      <c r="H31">
        <v>9000</v>
      </c>
    </row>
    <row r="32" spans="4:8" x14ac:dyDescent="0.25">
      <c r="D32">
        <v>24560</v>
      </c>
      <c r="H32">
        <v>3740</v>
      </c>
    </row>
    <row r="33" spans="4:8" x14ac:dyDescent="0.25">
      <c r="D33" s="21">
        <f>SUM(D4:D32)</f>
        <v>289440</v>
      </c>
      <c r="F33">
        <f>SUM(F4:F7)</f>
        <v>150390</v>
      </c>
      <c r="H33">
        <v>3740</v>
      </c>
    </row>
    <row r="34" spans="4:8" x14ac:dyDescent="0.25">
      <c r="D34" s="22">
        <f>(D33*19%)+D33</f>
        <v>344433.6</v>
      </c>
      <c r="F34" s="22">
        <f>(F33*19%)+F33</f>
        <v>178964.1</v>
      </c>
      <c r="H34">
        <v>5320</v>
      </c>
    </row>
    <row r="35" spans="4:8" x14ac:dyDescent="0.25">
      <c r="H35">
        <v>15960</v>
      </c>
    </row>
    <row r="36" spans="4:8" x14ac:dyDescent="0.25">
      <c r="H36">
        <v>8120</v>
      </c>
    </row>
    <row r="37" spans="4:8" x14ac:dyDescent="0.25">
      <c r="H37">
        <v>7980</v>
      </c>
    </row>
    <row r="38" spans="4:8" x14ac:dyDescent="0.25">
      <c r="H38">
        <v>7980</v>
      </c>
    </row>
    <row r="39" spans="4:8" x14ac:dyDescent="0.25">
      <c r="H39">
        <v>7980</v>
      </c>
    </row>
    <row r="40" spans="4:8" x14ac:dyDescent="0.25">
      <c r="H40">
        <v>10640</v>
      </c>
    </row>
    <row r="41" spans="4:8" x14ac:dyDescent="0.25">
      <c r="H41">
        <v>7980</v>
      </c>
    </row>
    <row r="42" spans="4:8" x14ac:dyDescent="0.25">
      <c r="E42" s="23">
        <f>D34+F34+H66</f>
        <v>1655004.4</v>
      </c>
      <c r="H42">
        <v>7980</v>
      </c>
    </row>
    <row r="43" spans="4:8" x14ac:dyDescent="0.25">
      <c r="H43">
        <v>10640</v>
      </c>
    </row>
    <row r="44" spans="4:8" x14ac:dyDescent="0.25">
      <c r="H44">
        <v>10640</v>
      </c>
    </row>
    <row r="45" spans="4:8" x14ac:dyDescent="0.25">
      <c r="H45">
        <v>7980</v>
      </c>
    </row>
    <row r="46" spans="4:8" x14ac:dyDescent="0.25">
      <c r="H46">
        <v>7980</v>
      </c>
    </row>
    <row r="47" spans="4:8" x14ac:dyDescent="0.25">
      <c r="H47">
        <v>6240</v>
      </c>
    </row>
    <row r="48" spans="4:8" x14ac:dyDescent="0.25">
      <c r="H48">
        <v>56000</v>
      </c>
    </row>
    <row r="49" spans="5:8" x14ac:dyDescent="0.25">
      <c r="E49" s="23">
        <f>E42-1655004</f>
        <v>0.39999999990686774</v>
      </c>
      <c r="H49">
        <v>37800</v>
      </c>
    </row>
    <row r="50" spans="5:8" x14ac:dyDescent="0.25">
      <c r="H50">
        <v>21960</v>
      </c>
    </row>
    <row r="51" spans="5:8" x14ac:dyDescent="0.25">
      <c r="H51">
        <v>50880</v>
      </c>
    </row>
    <row r="52" spans="5:8" x14ac:dyDescent="0.25">
      <c r="H52">
        <v>9440</v>
      </c>
    </row>
    <row r="53" spans="5:8" x14ac:dyDescent="0.25">
      <c r="H53">
        <v>49250</v>
      </c>
    </row>
    <row r="54" spans="5:8" x14ac:dyDescent="0.25">
      <c r="H54">
        <v>19800</v>
      </c>
    </row>
    <row r="55" spans="5:8" x14ac:dyDescent="0.25">
      <c r="H55">
        <v>22400</v>
      </c>
    </row>
    <row r="56" spans="5:8" x14ac:dyDescent="0.25">
      <c r="H56">
        <v>20160</v>
      </c>
    </row>
    <row r="57" spans="5:8" x14ac:dyDescent="0.25">
      <c r="H57">
        <v>12720</v>
      </c>
    </row>
    <row r="58" spans="5:8" x14ac:dyDescent="0.25">
      <c r="H58">
        <v>27180</v>
      </c>
    </row>
    <row r="59" spans="5:8" x14ac:dyDescent="0.25">
      <c r="H59">
        <v>62480</v>
      </c>
    </row>
    <row r="60" spans="5:8" x14ac:dyDescent="0.25">
      <c r="H60">
        <v>12240</v>
      </c>
    </row>
    <row r="61" spans="5:8" x14ac:dyDescent="0.25">
      <c r="H61">
        <v>12240</v>
      </c>
    </row>
    <row r="62" spans="5:8" x14ac:dyDescent="0.25">
      <c r="H62">
        <v>12240</v>
      </c>
    </row>
    <row r="63" spans="5:8" x14ac:dyDescent="0.25">
      <c r="H63">
        <v>52400</v>
      </c>
    </row>
    <row r="64" spans="5:8" x14ac:dyDescent="0.25">
      <c r="H64">
        <v>69000</v>
      </c>
    </row>
    <row r="65" spans="8:8" x14ac:dyDescent="0.25">
      <c r="H65">
        <f>SUM(H4:H64)</f>
        <v>950930</v>
      </c>
    </row>
    <row r="66" spans="8:8" x14ac:dyDescent="0.25">
      <c r="H66" s="22">
        <f>(H65*19%)+H65</f>
        <v>1131606.7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Blanca Soledad Rivera Soto</dc:creator>
  <cp:lastModifiedBy>ARIEL EDUARDO NOVOA PEÑA</cp:lastModifiedBy>
  <cp:lastPrinted>2026-03-24T13:13:25Z</cp:lastPrinted>
  <dcterms:created xsi:type="dcterms:W3CDTF">2025-01-09T18:14:09Z</dcterms:created>
  <dcterms:modified xsi:type="dcterms:W3CDTF">2026-05-13T02:02:59Z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2025-01-09T18:14:53Z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cf38cf88-af9e-4b0f-ae99-32c33f0bae99</vt:lpwstr>
  </property>
  <property fmtid="{D5CDD505-2E9C-101B-9397-08002B2CF9AE}" pid="7" name="MSIP_Label_defa4170-0d19-0005-0004-bc88714345d2_ActionId">
    <vt:lpwstr>d1375813-b8c7-4c21-8f9a-858122e48b7b</vt:lpwstr>
  </property>
  <property fmtid="{D5CDD505-2E9C-101B-9397-08002B2CF9AE}" pid="8" name="MSIP_Label_defa4170-0d19-0005-0004-bc88714345d2_ContentBits">
    <vt:lpwstr>0</vt:lpwstr>
  </property>
</Properties>
</file>